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Stats and Rosters/"/>
    </mc:Choice>
  </mc:AlternateContent>
  <xr:revisionPtr revIDLastSave="0" documentId="8_{A583FF9B-D70A-0D44-BAE3-D69AD5D08EF5}" xr6:coauthVersionLast="47" xr6:coauthVersionMax="47" xr10:uidLastSave="{00000000-0000-0000-0000-000000000000}"/>
  <bookViews>
    <workbookView xWindow="3200" yWindow="2520" windowWidth="3136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" i="1" l="1"/>
  <c r="W14" i="1"/>
  <c r="V14" i="1"/>
  <c r="W12" i="1"/>
  <c r="V12" i="1"/>
  <c r="W11" i="1"/>
  <c r="V11" i="1"/>
  <c r="W10" i="1"/>
  <c r="V10" i="1"/>
  <c r="W9" i="1"/>
  <c r="V9" i="1"/>
  <c r="Q37" i="1" l="1"/>
  <c r="P37" i="1"/>
  <c r="O37" i="1"/>
  <c r="N37" i="1"/>
  <c r="J37" i="1"/>
  <c r="G37" i="1"/>
  <c r="F37" i="1"/>
  <c r="E37" i="1"/>
  <c r="Q33" i="1"/>
  <c r="P33" i="1"/>
  <c r="O33" i="1"/>
  <c r="N33" i="1"/>
  <c r="J33" i="1"/>
  <c r="G33" i="1"/>
  <c r="E33" i="1"/>
  <c r="Q32" i="1"/>
  <c r="P32" i="1"/>
  <c r="O32" i="1"/>
  <c r="N32" i="1"/>
  <c r="J32" i="1"/>
  <c r="G32" i="1"/>
  <c r="F32" i="1"/>
  <c r="E32" i="1"/>
  <c r="E31" i="1"/>
  <c r="Q30" i="1"/>
  <c r="P30" i="1"/>
  <c r="O30" i="1"/>
  <c r="N30" i="1"/>
  <c r="J30" i="1"/>
  <c r="G30" i="1"/>
  <c r="F30" i="1"/>
  <c r="E30" i="1"/>
  <c r="Q29" i="1"/>
  <c r="P29" i="1"/>
  <c r="O29" i="1"/>
  <c r="N29" i="1"/>
  <c r="J29" i="1"/>
  <c r="G29" i="1"/>
  <c r="F29" i="1"/>
  <c r="E29" i="1"/>
  <c r="Q28" i="1"/>
  <c r="P28" i="1"/>
  <c r="O28" i="1"/>
  <c r="N28" i="1"/>
  <c r="J28" i="1"/>
  <c r="G28" i="1"/>
  <c r="F28" i="1"/>
  <c r="E28" i="1"/>
  <c r="Q27" i="1"/>
  <c r="P27" i="1"/>
  <c r="O27" i="1"/>
  <c r="N27" i="1"/>
  <c r="L27" i="1"/>
  <c r="K27" i="1"/>
  <c r="J27" i="1"/>
  <c r="G27" i="1"/>
  <c r="F27" i="1"/>
  <c r="E27" i="1"/>
  <c r="Q24" i="1"/>
  <c r="P24" i="1"/>
  <c r="O24" i="1"/>
  <c r="N24" i="1"/>
  <c r="J24" i="1"/>
  <c r="G24" i="1"/>
  <c r="F24" i="1"/>
  <c r="E24" i="1"/>
  <c r="Q21" i="1"/>
  <c r="P21" i="1"/>
  <c r="O21" i="1"/>
  <c r="N21" i="1"/>
  <c r="J21" i="1"/>
  <c r="G21" i="1"/>
  <c r="F21" i="1"/>
  <c r="E21" i="1"/>
  <c r="Q20" i="1"/>
  <c r="P20" i="1"/>
  <c r="O20" i="1"/>
  <c r="N20" i="1"/>
  <c r="J20" i="1"/>
  <c r="G20" i="1"/>
  <c r="F20" i="1"/>
  <c r="E20" i="1"/>
  <c r="Q19" i="1"/>
  <c r="P19" i="1"/>
  <c r="O19" i="1"/>
  <c r="L19" i="1"/>
  <c r="K19" i="1"/>
  <c r="N19" i="1"/>
  <c r="J19" i="1"/>
  <c r="G19" i="1"/>
  <c r="F19" i="1"/>
  <c r="E19" i="1"/>
  <c r="Q18" i="1"/>
  <c r="P18" i="1"/>
  <c r="O18" i="1"/>
  <c r="N18" i="1"/>
  <c r="J18" i="1"/>
  <c r="G18" i="1"/>
  <c r="F18" i="1"/>
  <c r="E18" i="1"/>
  <c r="Q16" i="1"/>
  <c r="P16" i="1"/>
  <c r="O16" i="1"/>
  <c r="N16" i="1"/>
  <c r="J16" i="1"/>
  <c r="G16" i="1"/>
  <c r="F16" i="1"/>
  <c r="E16" i="1"/>
  <c r="Q14" i="1"/>
  <c r="P14" i="1"/>
  <c r="O14" i="1"/>
  <c r="N14" i="1"/>
  <c r="L14" i="1"/>
  <c r="K14" i="1"/>
  <c r="J14" i="1"/>
  <c r="G14" i="1"/>
  <c r="F14" i="1"/>
  <c r="E14" i="1"/>
  <c r="Q13" i="1"/>
  <c r="P13" i="1"/>
  <c r="O13" i="1"/>
  <c r="N13" i="1"/>
  <c r="J13" i="1"/>
  <c r="G13" i="1"/>
  <c r="F13" i="1"/>
  <c r="E13" i="1"/>
  <c r="Q12" i="1"/>
  <c r="P12" i="1"/>
  <c r="O12" i="1"/>
  <c r="N12" i="1"/>
  <c r="J12" i="1"/>
  <c r="G12" i="1"/>
  <c r="F12" i="1"/>
  <c r="E12" i="1"/>
  <c r="Q11" i="1"/>
  <c r="P11" i="1"/>
  <c r="O11" i="1"/>
  <c r="N11" i="1"/>
  <c r="J11" i="1"/>
  <c r="G11" i="1"/>
  <c r="F11" i="1"/>
  <c r="E11" i="1"/>
  <c r="Q10" i="1"/>
  <c r="P10" i="1"/>
  <c r="O10" i="1"/>
  <c r="N10" i="1"/>
  <c r="L10" i="1"/>
  <c r="K10" i="1"/>
  <c r="J10" i="1"/>
  <c r="G10" i="1"/>
  <c r="F10" i="1"/>
  <c r="E10" i="1"/>
  <c r="Q9" i="1"/>
  <c r="P9" i="1"/>
  <c r="O9" i="1"/>
  <c r="N9" i="1"/>
  <c r="J9" i="1"/>
  <c r="G9" i="1"/>
  <c r="F9" i="1"/>
  <c r="E9" i="1"/>
  <c r="Q8" i="1"/>
  <c r="P8" i="1"/>
  <c r="O8" i="1"/>
  <c r="N8" i="1"/>
  <c r="J8" i="1"/>
  <c r="G8" i="1"/>
  <c r="F8" i="1"/>
  <c r="E8" i="1"/>
  <c r="Q7" i="1"/>
  <c r="P7" i="1"/>
  <c r="O7" i="1"/>
  <c r="N7" i="1"/>
  <c r="J7" i="1"/>
  <c r="G7" i="1"/>
  <c r="F7" i="1"/>
  <c r="E7" i="1"/>
  <c r="Q6" i="1"/>
  <c r="P6" i="1"/>
  <c r="O6" i="1"/>
  <c r="N6" i="1"/>
  <c r="J6" i="1"/>
  <c r="G6" i="1"/>
  <c r="F6" i="1"/>
  <c r="E6" i="1"/>
  <c r="Q4" i="1"/>
  <c r="P4" i="1"/>
  <c r="O4" i="1"/>
  <c r="N4" i="1"/>
  <c r="J4" i="1"/>
  <c r="H4" i="1"/>
  <c r="G4" i="1"/>
  <c r="F4" i="1"/>
  <c r="Q3" i="1"/>
  <c r="P3" i="1"/>
  <c r="O3" i="1"/>
  <c r="N3" i="1"/>
  <c r="J3" i="1"/>
  <c r="H3" i="1"/>
  <c r="G3" i="1"/>
  <c r="F3" i="1"/>
  <c r="E3" i="1"/>
  <c r="N49" i="1"/>
  <c r="M49" i="1"/>
  <c r="F48" i="1"/>
  <c r="E48" i="1"/>
  <c r="L60" i="1"/>
  <c r="L62" i="1"/>
  <c r="F62" i="1"/>
  <c r="E62" i="1"/>
  <c r="F59" i="1"/>
  <c r="E59" i="1"/>
  <c r="F56" i="1"/>
  <c r="E56" i="1"/>
  <c r="F53" i="1"/>
  <c r="E53" i="1"/>
  <c r="F66" i="1"/>
  <c r="D66" i="1"/>
  <c r="O39" i="1"/>
  <c r="N39" i="1"/>
  <c r="Q34" i="1"/>
  <c r="P34" i="1"/>
  <c r="O34" i="1"/>
  <c r="N34" i="1"/>
  <c r="J34" i="1"/>
  <c r="H34" i="1"/>
  <c r="G34" i="1"/>
  <c r="F34" i="1"/>
  <c r="E34" i="1"/>
  <c r="F33" i="1"/>
  <c r="K28" i="1"/>
  <c r="H24" i="1"/>
  <c r="Q22" i="1"/>
  <c r="P22" i="1"/>
  <c r="O22" i="1"/>
  <c r="N22" i="1"/>
  <c r="J22" i="1"/>
  <c r="G22" i="1"/>
  <c r="F22" i="1"/>
  <c r="E22" i="1"/>
  <c r="Q31" i="1"/>
  <c r="P31" i="1"/>
  <c r="O31" i="1"/>
  <c r="N31" i="1"/>
  <c r="J31" i="1"/>
  <c r="G31" i="1"/>
  <c r="F31" i="1"/>
  <c r="Q26" i="1"/>
  <c r="P26" i="1"/>
  <c r="O26" i="1"/>
  <c r="N26" i="1"/>
  <c r="J26" i="1"/>
  <c r="G26" i="1"/>
  <c r="F26" i="1"/>
  <c r="E26" i="1"/>
  <c r="Q23" i="1"/>
  <c r="P23" i="1"/>
  <c r="O23" i="1"/>
  <c r="N23" i="1"/>
  <c r="L23" i="1"/>
  <c r="K23" i="1"/>
  <c r="J23" i="1"/>
  <c r="G23" i="1"/>
  <c r="F23" i="1"/>
  <c r="E23" i="1"/>
  <c r="H22" i="1"/>
  <c r="L12" i="1"/>
  <c r="K12" i="1"/>
  <c r="Q5" i="1"/>
  <c r="P5" i="1"/>
  <c r="O5" i="1"/>
  <c r="N5" i="1"/>
  <c r="J5" i="1"/>
  <c r="G5" i="1"/>
  <c r="F5" i="1"/>
  <c r="E5" i="1"/>
  <c r="M28" i="1"/>
  <c r="L28" i="1"/>
  <c r="H18" i="1"/>
  <c r="H171" i="1" l="1"/>
  <c r="H170" i="1"/>
  <c r="H166" i="1"/>
  <c r="H165" i="1"/>
  <c r="M33" i="1"/>
  <c r="K33" i="1"/>
  <c r="L33" i="1"/>
  <c r="H11" i="1"/>
  <c r="H6" i="1"/>
  <c r="H31" i="1" l="1"/>
  <c r="H26" i="1" l="1"/>
  <c r="S26" i="1" s="1"/>
  <c r="I26" i="1"/>
  <c r="R26" i="1" l="1"/>
  <c r="I7" i="1"/>
  <c r="I5" i="1"/>
  <c r="H30" i="1"/>
  <c r="H5" i="1" l="1"/>
  <c r="S5" i="1" s="1"/>
  <c r="H7" i="1"/>
  <c r="S7" i="1" s="1"/>
  <c r="H23" i="1"/>
  <c r="H16" i="1"/>
  <c r="H8" i="1"/>
  <c r="R5" i="1" l="1"/>
  <c r="R7" i="1"/>
  <c r="H27" i="1"/>
  <c r="H28" i="1"/>
  <c r="E25" i="1"/>
  <c r="E17" i="1"/>
  <c r="Q25" i="1" l="1"/>
  <c r="P25" i="1"/>
  <c r="O25" i="1"/>
  <c r="N25" i="1"/>
  <c r="J25" i="1"/>
  <c r="G25" i="1"/>
  <c r="F25" i="1"/>
  <c r="Q17" i="1"/>
  <c r="P17" i="1"/>
  <c r="O17" i="1"/>
  <c r="N17" i="1"/>
  <c r="J17" i="1"/>
  <c r="G17" i="1"/>
  <c r="F17" i="1"/>
  <c r="Q15" i="1"/>
  <c r="P15" i="1"/>
  <c r="O15" i="1"/>
  <c r="N15" i="1"/>
  <c r="J15" i="1"/>
  <c r="G15" i="1"/>
  <c r="F15" i="1"/>
  <c r="E15" i="1"/>
  <c r="I34" i="1" l="1"/>
  <c r="H32" i="1"/>
  <c r="M27" i="1"/>
  <c r="I22" i="1"/>
  <c r="H15" i="1"/>
  <c r="H33" i="1"/>
  <c r="I33" i="1"/>
  <c r="H76" i="1"/>
  <c r="H75" i="1"/>
  <c r="M23" i="1"/>
  <c r="M14" i="1" l="1"/>
  <c r="S32" i="1"/>
  <c r="I32" i="1"/>
  <c r="R33" i="1"/>
  <c r="S33" i="1"/>
  <c r="R32" i="1"/>
  <c r="H17" i="1"/>
  <c r="H13" i="1"/>
  <c r="R34" i="1" l="1"/>
  <c r="S34" i="1"/>
  <c r="H29" i="1"/>
  <c r="I31" i="1"/>
  <c r="H25" i="1"/>
  <c r="H19" i="1"/>
  <c r="I30" i="1"/>
  <c r="H9" i="1" l="1"/>
  <c r="I4" i="1"/>
  <c r="S31" i="1"/>
  <c r="R31" i="1"/>
  <c r="M19" i="1"/>
  <c r="S30" i="1"/>
  <c r="R30" i="1"/>
  <c r="I15" i="1" l="1"/>
  <c r="H12" i="1"/>
  <c r="I3" i="1"/>
  <c r="H10" i="1"/>
  <c r="I9" i="1"/>
  <c r="I37" i="1"/>
  <c r="G48" i="1"/>
  <c r="M10" i="1"/>
  <c r="M12" i="1" l="1"/>
  <c r="I29" i="1"/>
  <c r="I27" i="1"/>
  <c r="I25" i="1"/>
  <c r="I24" i="1"/>
  <c r="I23" i="1"/>
  <c r="I21" i="1"/>
  <c r="I20" i="1"/>
  <c r="I18" i="1"/>
  <c r="I6" i="1" l="1"/>
  <c r="I19" i="1"/>
  <c r="I28" i="1"/>
  <c r="I14" i="1"/>
  <c r="I10" i="1"/>
  <c r="I11" i="1"/>
  <c r="I12" i="1"/>
  <c r="I13" i="1"/>
  <c r="I16" i="1"/>
  <c r="I17" i="1"/>
  <c r="I8" i="1"/>
  <c r="H14" i="1"/>
  <c r="S4" i="1" l="1"/>
  <c r="H161" i="1"/>
  <c r="R4" i="1" l="1"/>
  <c r="H37" i="1" l="1"/>
  <c r="H86" i="1"/>
  <c r="H85" i="1"/>
  <c r="H101" i="1"/>
  <c r="H100" i="1"/>
  <c r="S37" i="1" l="1"/>
  <c r="R37" i="1"/>
  <c r="Q45" i="1"/>
  <c r="S13" i="1" l="1"/>
  <c r="R14" i="1"/>
  <c r="R9" i="1"/>
  <c r="S6" i="1"/>
  <c r="R13" i="1" l="1"/>
  <c r="R6" i="1"/>
  <c r="S9" i="1"/>
  <c r="S14" i="1"/>
  <c r="S28" i="1" l="1"/>
  <c r="R28" i="1"/>
  <c r="S29" i="1"/>
  <c r="R29" i="1"/>
  <c r="R23" i="1"/>
  <c r="S23" i="1"/>
  <c r="R16" i="1" l="1"/>
  <c r="S16" i="1"/>
  <c r="R27" i="1"/>
  <c r="S27" i="1"/>
  <c r="R10" i="1" l="1"/>
  <c r="S10" i="1"/>
  <c r="H21" i="1"/>
  <c r="R21" i="1" l="1"/>
  <c r="S21" i="1"/>
  <c r="H120" i="1"/>
  <c r="S3" i="1" l="1"/>
  <c r="R3" i="1"/>
  <c r="G49" i="1" l="1"/>
  <c r="H49" i="1"/>
  <c r="H106" i="1" l="1"/>
  <c r="H160" i="1"/>
  <c r="H156" i="1"/>
  <c r="H155" i="1"/>
  <c r="D67" i="1"/>
  <c r="H151" i="1"/>
  <c r="H150" i="1"/>
  <c r="H146" i="1"/>
  <c r="H145" i="1"/>
  <c r="H141" i="1"/>
  <c r="H140" i="1"/>
  <c r="H136" i="1"/>
  <c r="H135" i="1"/>
  <c r="H131" i="1"/>
  <c r="H130" i="1"/>
  <c r="H126" i="1"/>
  <c r="H125" i="1"/>
  <c r="H116" i="1"/>
  <c r="H115" i="1"/>
  <c r="H111" i="1"/>
  <c r="H110" i="1"/>
  <c r="H105" i="1"/>
  <c r="H121" i="1"/>
  <c r="H96" i="1"/>
  <c r="H95" i="1"/>
  <c r="H91" i="1"/>
  <c r="H90" i="1"/>
  <c r="E45" i="1"/>
  <c r="H81" i="1"/>
  <c r="H80" i="1"/>
  <c r="K45" i="1"/>
  <c r="L45" i="1"/>
  <c r="O45" i="1"/>
  <c r="G62" i="1"/>
  <c r="G59" i="1"/>
  <c r="G56" i="1"/>
  <c r="G53" i="1"/>
  <c r="P45" i="1"/>
  <c r="P46" i="1" s="1"/>
  <c r="H20" i="1"/>
  <c r="F45" i="1"/>
  <c r="G45" i="1"/>
  <c r="N45" i="1"/>
  <c r="N46" i="1" s="1"/>
  <c r="F67" i="1"/>
  <c r="J45" i="1"/>
  <c r="I45" i="1" l="1"/>
  <c r="R25" i="1"/>
  <c r="S25" i="1"/>
  <c r="R24" i="1"/>
  <c r="S24" i="1"/>
  <c r="S12" i="1"/>
  <c r="R12" i="1"/>
  <c r="S20" i="1"/>
  <c r="R20" i="1"/>
  <c r="R22" i="1"/>
  <c r="S22" i="1"/>
  <c r="S19" i="1"/>
  <c r="R19" i="1"/>
  <c r="R17" i="1"/>
  <c r="S17" i="1"/>
  <c r="R11" i="1"/>
  <c r="S11" i="1"/>
  <c r="R15" i="1"/>
  <c r="S15" i="1"/>
  <c r="R18" i="1"/>
  <c r="S18" i="1"/>
  <c r="R8" i="1"/>
  <c r="S8" i="1"/>
  <c r="M45" i="1"/>
  <c r="H48" i="1"/>
</calcChain>
</file>

<file path=xl/sharedStrings.xml><?xml version="1.0" encoding="utf-8"?>
<sst xmlns="http://schemas.openxmlformats.org/spreadsheetml/2006/main" count="266" uniqueCount="125">
  <si>
    <t>Name</t>
  </si>
  <si>
    <t>GP</t>
  </si>
  <si>
    <t>Goals</t>
  </si>
  <si>
    <t>Assists</t>
  </si>
  <si>
    <t>Points</t>
  </si>
  <si>
    <t>Shots</t>
  </si>
  <si>
    <t>Ground balls</t>
  </si>
  <si>
    <t>FOW</t>
  </si>
  <si>
    <t>Penalties</t>
  </si>
  <si>
    <t>Minutes</t>
  </si>
  <si>
    <t>Games Started</t>
  </si>
  <si>
    <t>Saves</t>
  </si>
  <si>
    <t xml:space="preserve">Team: </t>
  </si>
  <si>
    <t>Goals For</t>
  </si>
  <si>
    <t>Goals Against</t>
  </si>
  <si>
    <t>Total:</t>
  </si>
  <si>
    <t>Per Game:</t>
  </si>
  <si>
    <t>Record:</t>
  </si>
  <si>
    <t>Ties: 0</t>
  </si>
  <si>
    <t>Clears:</t>
  </si>
  <si>
    <t>Successful</t>
  </si>
  <si>
    <t>Unsuccessful</t>
  </si>
  <si>
    <t>Extra Man Opps:</t>
  </si>
  <si>
    <t>Scored</t>
  </si>
  <si>
    <t>Failed</t>
  </si>
  <si>
    <t>Opponents Extra Man Opps:</t>
  </si>
  <si>
    <t>FO Attempts</t>
  </si>
  <si>
    <t>Opponent Clears:</t>
  </si>
  <si>
    <t>FOW %</t>
  </si>
  <si>
    <t>Games</t>
  </si>
  <si>
    <t>Totals:</t>
  </si>
  <si>
    <t>Opponents penalties:</t>
  </si>
  <si>
    <t>Turnovers</t>
  </si>
  <si>
    <t>Jersey #</t>
  </si>
  <si>
    <t>Pos</t>
  </si>
  <si>
    <t>A</t>
  </si>
  <si>
    <t>M</t>
  </si>
  <si>
    <t>D</t>
  </si>
  <si>
    <t>G</t>
  </si>
  <si>
    <t>%</t>
  </si>
  <si>
    <t>Time of possesion:</t>
  </si>
  <si>
    <t>Opponent's T.O.P.:</t>
  </si>
  <si>
    <t>#</t>
  </si>
  <si>
    <t>Time</t>
  </si>
  <si>
    <t>Games:</t>
  </si>
  <si>
    <t>Athens Drive</t>
  </si>
  <si>
    <t>1st</t>
  </si>
  <si>
    <t>2nd</t>
  </si>
  <si>
    <t>3rd</t>
  </si>
  <si>
    <t>4th</t>
  </si>
  <si>
    <t>Total</t>
  </si>
  <si>
    <t>T.O.P.</t>
  </si>
  <si>
    <t>TEAM</t>
  </si>
  <si>
    <t>Opponents turnovers:</t>
  </si>
  <si>
    <t>Shots on Goal:</t>
  </si>
  <si>
    <t>Opponents shots on goal:</t>
  </si>
  <si>
    <t>Saves per game played</t>
  </si>
  <si>
    <t>Productivity ratio</t>
  </si>
  <si>
    <t>Per Game Contribution</t>
  </si>
  <si>
    <t>Shots on goal</t>
  </si>
  <si>
    <t>Save %</t>
  </si>
  <si>
    <t>D/LSM</t>
  </si>
  <si>
    <t>Home</t>
  </si>
  <si>
    <t>Away</t>
  </si>
  <si>
    <t>Caused T.O</t>
  </si>
  <si>
    <t>Carson Andrews</t>
  </si>
  <si>
    <t>Tyler Fields</t>
  </si>
  <si>
    <t>Kellen Johnson</t>
  </si>
  <si>
    <t>William Parham</t>
  </si>
  <si>
    <t>Braiden Stanert</t>
  </si>
  <si>
    <t>Wes Cohn</t>
  </si>
  <si>
    <t>Shot %</t>
  </si>
  <si>
    <t>Caleb Deak</t>
  </si>
  <si>
    <t>Zander Adkins</t>
  </si>
  <si>
    <t>Brower Evenhouse</t>
  </si>
  <si>
    <t>Owen Mutch</t>
  </si>
  <si>
    <t>Webb Linton</t>
  </si>
  <si>
    <t>Kalem McKinnis-Castille</t>
  </si>
  <si>
    <t>Willow Spring</t>
  </si>
  <si>
    <t>Luke Ross</t>
  </si>
  <si>
    <t>Braxton Rush</t>
  </si>
  <si>
    <t>Liam Craig</t>
  </si>
  <si>
    <t>Oyewole Popoola</t>
  </si>
  <si>
    <t>Position Rank</t>
  </si>
  <si>
    <t>Willis Hester</t>
  </si>
  <si>
    <t>Brandon Lee</t>
  </si>
  <si>
    <t>Jack Danjczek</t>
  </si>
  <si>
    <t>Caleb Lynch</t>
  </si>
  <si>
    <t>Trent Smith</t>
  </si>
  <si>
    <t>Dwiki Abidin</t>
  </si>
  <si>
    <t>Anselmo Nieves</t>
  </si>
  <si>
    <t>Philip Lloyd</t>
  </si>
  <si>
    <t>Owen Honnold</t>
  </si>
  <si>
    <t>Luke Rutheny</t>
  </si>
  <si>
    <t>Isaiah Beardsley</t>
  </si>
  <si>
    <t>Carson Parrish</t>
  </si>
  <si>
    <t>Charles Carter</t>
  </si>
  <si>
    <t>Cary</t>
  </si>
  <si>
    <t>Jay Cohn</t>
  </si>
  <si>
    <t>Green Hope</t>
  </si>
  <si>
    <t>Green Level</t>
  </si>
  <si>
    <t>Clayton</t>
  </si>
  <si>
    <t>Jordan</t>
  </si>
  <si>
    <t>Sanderson</t>
  </si>
  <si>
    <t>Enloe</t>
  </si>
  <si>
    <t>Leesville Road</t>
  </si>
  <si>
    <t>Bradyn Evans</t>
  </si>
  <si>
    <t>Harrison Baublitz</t>
  </si>
  <si>
    <t>Jack Thompson</t>
  </si>
  <si>
    <t>JH Rose</t>
  </si>
  <si>
    <t>Cardinal Gibbons</t>
  </si>
  <si>
    <t>Wilmington Ashley</t>
  </si>
  <si>
    <t>Wilmington Laney</t>
  </si>
  <si>
    <t>-</t>
  </si>
  <si>
    <t>Broughton</t>
  </si>
  <si>
    <t>Leesville</t>
  </si>
  <si>
    <t>Wakefield</t>
  </si>
  <si>
    <t>Wins: 13</t>
  </si>
  <si>
    <t>Team</t>
  </si>
  <si>
    <t>Losses: 8</t>
  </si>
  <si>
    <t>Goals:</t>
  </si>
  <si>
    <t>Assists:</t>
  </si>
  <si>
    <t>GBs:</t>
  </si>
  <si>
    <t>Takeaways:</t>
  </si>
  <si>
    <t>Turnovers: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</si>
</sst>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center"/>
    </xf>
    <xf numFmtId="46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20" fontId="0" fillId="0" borderId="0" xfId="0" applyNumberFormat="1" applyAlignment="1">
      <alignment horizontal="center"/>
    </xf>
    <xf numFmtId="20" fontId="0" fillId="0" borderId="0" xfId="0" applyNumberFormat="1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164" fontId="0" fillId="4" borderId="0" xfId="1" applyNumberFormat="1" applyFont="1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7" fillId="0" borderId="0" xfId="0" quotePrefix="1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1" applyNumberFormat="1" applyFon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73"/>
  <sheetViews>
    <sheetView tabSelected="1" workbookViewId="0">
      <selection activeCell="R1" sqref="R1:W1048576"/>
    </sheetView>
  </sheetViews>
  <sheetFormatPr baseColWidth="10" defaultColWidth="8.83203125" defaultRowHeight="15" x14ac:dyDescent="0.2"/>
  <cols>
    <col min="1" max="1" width="9.6640625" style="10" bestFit="1" customWidth="1"/>
    <col min="2" max="2" width="5.83203125" style="10" customWidth="1"/>
    <col min="3" max="3" width="20.5" customWidth="1"/>
    <col min="4" max="5" width="11.5" customWidth="1"/>
    <col min="6" max="6" width="10.5" customWidth="1"/>
    <col min="8" max="8" width="10.6640625" bestFit="1" customWidth="1"/>
    <col min="9" max="9" width="10.5" customWidth="1"/>
    <col min="10" max="10" width="10.83203125" customWidth="1"/>
    <col min="11" max="11" width="10.5" customWidth="1"/>
    <col min="16" max="17" width="8.83203125" style="10"/>
    <col min="18" max="18" width="11.5" style="10" hidden="1" customWidth="1"/>
    <col min="19" max="19" width="13.6640625" style="10" hidden="1" customWidth="1"/>
    <col min="20" max="20" width="0" style="10" hidden="1" customWidth="1"/>
    <col min="21" max="23" width="0" hidden="1" customWidth="1"/>
  </cols>
  <sheetData>
    <row r="2" spans="1:23" ht="27" x14ac:dyDescent="0.2">
      <c r="A2" s="15" t="s">
        <v>33</v>
      </c>
      <c r="B2" s="15" t="s">
        <v>34</v>
      </c>
      <c r="C2" s="1" t="s">
        <v>0</v>
      </c>
      <c r="D2" s="1" t="s">
        <v>1</v>
      </c>
      <c r="E2" s="1" t="s">
        <v>5</v>
      </c>
      <c r="F2" s="1" t="s">
        <v>2</v>
      </c>
      <c r="G2" s="1" t="s">
        <v>3</v>
      </c>
      <c r="H2" s="1" t="s">
        <v>4</v>
      </c>
      <c r="I2" s="1" t="s">
        <v>71</v>
      </c>
      <c r="J2" s="1" t="s">
        <v>6</v>
      </c>
      <c r="K2" s="1" t="s">
        <v>26</v>
      </c>
      <c r="L2" s="1" t="s">
        <v>7</v>
      </c>
      <c r="M2" s="1" t="s">
        <v>28</v>
      </c>
      <c r="N2" s="1" t="s">
        <v>8</v>
      </c>
      <c r="O2" s="1" t="s">
        <v>9</v>
      </c>
      <c r="P2" s="1" t="s">
        <v>32</v>
      </c>
      <c r="Q2" s="1" t="s">
        <v>64</v>
      </c>
      <c r="R2" s="28" t="s">
        <v>57</v>
      </c>
      <c r="S2" s="28" t="s">
        <v>58</v>
      </c>
      <c r="T2" s="40" t="s">
        <v>83</v>
      </c>
    </row>
    <row r="3" spans="1:23" x14ac:dyDescent="0.2">
      <c r="A3" s="10">
        <v>9</v>
      </c>
      <c r="B3" s="10" t="s">
        <v>35</v>
      </c>
      <c r="C3" t="s">
        <v>98</v>
      </c>
      <c r="D3" s="10">
        <v>21</v>
      </c>
      <c r="E3" s="10">
        <f>12+10+11+6+9+8+5+13+8+6+5+18+5+11+9+9+2+3+13+4+12</f>
        <v>179</v>
      </c>
      <c r="F3" s="10">
        <f>3+4+8+1+7+5+1+4+3+3+2+4+0+2+6+6+0+0+5+3+4</f>
        <v>71</v>
      </c>
      <c r="G3" s="10">
        <f>3+2+3+1+3+0+4+4+1+5+1+3+2+0+1+5+3+0+3+3+2</f>
        <v>49</v>
      </c>
      <c r="H3" s="10">
        <f>F3+G3</f>
        <v>120</v>
      </c>
      <c r="I3" s="26">
        <f>F3/E3</f>
        <v>0.39664804469273746</v>
      </c>
      <c r="J3" s="10">
        <f>5+4+3+1+2+3+2+3+5+4+1+4+5+3+0+7+3+2+8+1+2</f>
        <v>68</v>
      </c>
      <c r="K3" s="10"/>
      <c r="L3" s="10"/>
      <c r="M3" s="10"/>
      <c r="N3" s="10">
        <f>1+2+0+2+0+1+2+1+0+0+1+1+0+0+2+0+0+0+1+0+2</f>
        <v>16</v>
      </c>
      <c r="O3" s="27">
        <f>1+1.5+0+1.5+0+1+2+2+0+0+1+0.5+0+0+1+0+0+0+1+0+1.5</f>
        <v>14</v>
      </c>
      <c r="P3" s="10">
        <f>1+0+1+1+1+0+1+2+3+2+2+3+2+3+2+4+2+0+0+0+1</f>
        <v>31</v>
      </c>
      <c r="Q3" s="10">
        <f>0+3+0+1+0+2+0+2+2+0+0+0+0+0+0+3+0+1+2+0+2</f>
        <v>18</v>
      </c>
      <c r="R3" s="37">
        <f>(J3+H3+Q3)/(N3+P3)</f>
        <v>4.3829787234042552</v>
      </c>
      <c r="S3" s="37">
        <f t="shared" ref="S3:S26" si="0">(H3+J3+Q3-N3-P3)/D3</f>
        <v>7.5714285714285712</v>
      </c>
      <c r="T3" s="43">
        <v>1</v>
      </c>
    </row>
    <row r="4" spans="1:23" x14ac:dyDescent="0.2">
      <c r="A4" s="10">
        <v>13</v>
      </c>
      <c r="B4" s="10" t="s">
        <v>35</v>
      </c>
      <c r="C4" t="s">
        <v>66</v>
      </c>
      <c r="D4" s="10">
        <v>21</v>
      </c>
      <c r="E4" s="10">
        <f>8+5+11+4+13+6+11+13+9+10+1+8+7+6+10+13+5+5+2+5+12</f>
        <v>164</v>
      </c>
      <c r="F4" s="10">
        <f>2+4+4+2+5+2+4+4+3+3+0+5+3+1+5+4+2+0+1+1+4</f>
        <v>59</v>
      </c>
      <c r="G4" s="10">
        <f>2+2+0+0+3+2+1+2+1+2+0+0+0+1+6+1+1+0+0+2+1</f>
        <v>27</v>
      </c>
      <c r="H4" s="10">
        <f>F4+G4</f>
        <v>86</v>
      </c>
      <c r="I4" s="26">
        <f>F4/E4</f>
        <v>0.3597560975609756</v>
      </c>
      <c r="J4" s="10">
        <f>6+6+3+0+5+3+8+5+3+6+1+2+2+3+3+2+2+1+0+3+3</f>
        <v>67</v>
      </c>
      <c r="K4" s="10"/>
      <c r="L4" s="10"/>
      <c r="M4" s="10"/>
      <c r="N4" s="10">
        <f>0+0+1+0+0+0+0+0+0+0+0+0+0+0+3+0+0+0+0+0+0</f>
        <v>4</v>
      </c>
      <c r="O4" s="27">
        <f>0+0+0.5+0+0+0+0+0+0+0+0+0+0+0+2+0+0+0+0+0+0</f>
        <v>2.5</v>
      </c>
      <c r="P4" s="10">
        <f>1+2+2+1+3+2+0+4+0+0+4+3+3+2+1+1+1+0+0+1+2</f>
        <v>33</v>
      </c>
      <c r="Q4" s="10">
        <f>1+0+0+0+3+0+2+1+0+1+0+0+0+0+1+0+0+0+0+0+0</f>
        <v>9</v>
      </c>
      <c r="R4" s="37">
        <f>(J4+H4+Q4)/(N4+P4)</f>
        <v>4.3783783783783781</v>
      </c>
      <c r="S4" s="37">
        <f t="shared" si="0"/>
        <v>5.9523809523809526</v>
      </c>
      <c r="T4" s="43">
        <v>2</v>
      </c>
    </row>
    <row r="5" spans="1:23" x14ac:dyDescent="0.2">
      <c r="A5" s="10">
        <v>12</v>
      </c>
      <c r="B5" s="10" t="s">
        <v>35</v>
      </c>
      <c r="C5" t="s">
        <v>106</v>
      </c>
      <c r="D5" s="10">
        <v>3</v>
      </c>
      <c r="E5" s="10">
        <f>1+0+0</f>
        <v>1</v>
      </c>
      <c r="F5" s="10">
        <f>1+0+0</f>
        <v>1</v>
      </c>
      <c r="G5" s="10">
        <f>0+0+1</f>
        <v>1</v>
      </c>
      <c r="H5" s="10">
        <f t="shared" ref="H5:H21" si="1">F5+G5</f>
        <v>2</v>
      </c>
      <c r="I5" s="26">
        <f>F5/E5</f>
        <v>1</v>
      </c>
      <c r="J5" s="10">
        <f>2+0+1</f>
        <v>3</v>
      </c>
      <c r="K5" s="10"/>
      <c r="L5" s="10"/>
      <c r="M5" s="10"/>
      <c r="N5" s="10">
        <f>0+0+0</f>
        <v>0</v>
      </c>
      <c r="O5" s="27">
        <f>0+0+0</f>
        <v>0</v>
      </c>
      <c r="P5" s="10">
        <f>0+0+0</f>
        <v>0</v>
      </c>
      <c r="Q5" s="10">
        <f>0+0+0</f>
        <v>0</v>
      </c>
      <c r="R5" s="37" t="e">
        <f>(J5+H5+Q5)/(N5+P5)</f>
        <v>#DIV/0!</v>
      </c>
      <c r="S5" s="37">
        <f t="shared" si="0"/>
        <v>1.6666666666666667</v>
      </c>
      <c r="T5" s="43">
        <v>4</v>
      </c>
    </row>
    <row r="6" spans="1:23" x14ac:dyDescent="0.2">
      <c r="A6" s="10">
        <v>15</v>
      </c>
      <c r="B6" s="10" t="s">
        <v>35</v>
      </c>
      <c r="C6" t="s">
        <v>72</v>
      </c>
      <c r="D6" s="10">
        <v>20</v>
      </c>
      <c r="E6" s="10">
        <f>5+11+1+2+3+1+1+0+2+5+0+0+0+3+2+4+3+0+1+0+3</f>
        <v>47</v>
      </c>
      <c r="F6" s="10">
        <f>3+5+1+0+2+0+0+0+1+0+0+0+0+1+1+3+3+0+1+0+0</f>
        <v>21</v>
      </c>
      <c r="G6" s="10">
        <f>0+0+0+0+1+0+1+1+0+0+0+0+0+0+0+0+0+0+0+0+0</f>
        <v>3</v>
      </c>
      <c r="H6" s="10">
        <f t="shared" ref="H6:H13" si="2">F6+G6</f>
        <v>24</v>
      </c>
      <c r="I6" s="26">
        <f t="shared" ref="I6:I31" si="3">F6/E6</f>
        <v>0.44680851063829785</v>
      </c>
      <c r="J6" s="10">
        <f>4+2+9+2+3+5+2+2+0+4+0+1+0+1+4+3+1+1+4+0+4</f>
        <v>52</v>
      </c>
      <c r="K6" s="10"/>
      <c r="L6" s="10"/>
      <c r="M6" s="10"/>
      <c r="N6" s="10">
        <f>0+1+0+0+0+0+0+0+0+0+0+0+0+0+0+0+0+0+0+1+0</f>
        <v>2</v>
      </c>
      <c r="O6" s="27">
        <f>0+0.5+0+0+0+0+0+0+0+0+0+0+0+0+0+0+0+0+0+0+0.5+0</f>
        <v>1</v>
      </c>
      <c r="P6" s="10">
        <f>4+3+2+2+3+6+4+1+0+4+2+1+0+2+2+2+0+1+0+0+2</f>
        <v>41</v>
      </c>
      <c r="Q6" s="10">
        <f>0+3+3+0+1+0+2+0+0+1+1+0+0+1+0+0+1+0+0+0+1</f>
        <v>14</v>
      </c>
      <c r="R6" s="37">
        <f t="shared" ref="R6:R31" si="4">(J6+H6+Q6)/(N6+P6)</f>
        <v>2.0930232558139537</v>
      </c>
      <c r="S6" s="37">
        <f t="shared" si="0"/>
        <v>2.35</v>
      </c>
      <c r="T6" s="43">
        <v>3</v>
      </c>
    </row>
    <row r="7" spans="1:23" x14ac:dyDescent="0.2">
      <c r="A7" s="10">
        <v>16</v>
      </c>
      <c r="B7" s="10" t="s">
        <v>35</v>
      </c>
      <c r="C7" t="s">
        <v>107</v>
      </c>
      <c r="D7" s="10">
        <v>5</v>
      </c>
      <c r="E7" s="10">
        <f>5+0+2+1</f>
        <v>8</v>
      </c>
      <c r="F7" s="10">
        <f>1+0+1+0</f>
        <v>2</v>
      </c>
      <c r="G7" s="10">
        <f>1+0+0+0</f>
        <v>1</v>
      </c>
      <c r="H7" s="10">
        <f t="shared" si="2"/>
        <v>3</v>
      </c>
      <c r="I7" s="26">
        <f t="shared" si="3"/>
        <v>0.25</v>
      </c>
      <c r="J7" s="10">
        <f>2+0+1+0</f>
        <v>3</v>
      </c>
      <c r="K7" s="10"/>
      <c r="L7" s="10"/>
      <c r="M7" s="10"/>
      <c r="N7" s="10">
        <f>0+0+0+0</f>
        <v>0</v>
      </c>
      <c r="O7" s="27">
        <f>0+0+0+0</f>
        <v>0</v>
      </c>
      <c r="P7" s="10">
        <f>0+1+0+0</f>
        <v>1</v>
      </c>
      <c r="Q7" s="10">
        <f>0+0+0+0</f>
        <v>0</v>
      </c>
      <c r="R7" s="37">
        <f t="shared" si="4"/>
        <v>6</v>
      </c>
      <c r="S7" s="37">
        <f t="shared" si="0"/>
        <v>1</v>
      </c>
      <c r="T7" s="43">
        <v>5</v>
      </c>
    </row>
    <row r="8" spans="1:23" x14ac:dyDescent="0.2">
      <c r="A8" s="10">
        <v>1</v>
      </c>
      <c r="B8" s="10" t="s">
        <v>36</v>
      </c>
      <c r="C8" t="s">
        <v>73</v>
      </c>
      <c r="D8" s="10">
        <v>21</v>
      </c>
      <c r="E8" s="10">
        <f>4+0+1+2+4+0+4+8+4+6+1+3+2+1+3+0+1+6+0+1</f>
        <v>51</v>
      </c>
      <c r="F8" s="10">
        <f>1+0+0+1+2+0+0+1+1+1+1+0+0+1+0+1+0+0+2+0+1</f>
        <v>13</v>
      </c>
      <c r="G8" s="10">
        <f>0+0+0+2+1+2+0+0+1+0+0+1+0+0+0+1+0+0+1+0+1</f>
        <v>10</v>
      </c>
      <c r="H8" s="10">
        <f t="shared" si="2"/>
        <v>23</v>
      </c>
      <c r="I8" s="26">
        <f t="shared" si="3"/>
        <v>0.25490196078431371</v>
      </c>
      <c r="J8" s="10">
        <f>4+1+2+1+4+0+3+3+2+7+0+2+4+0+2+4+0+0+1+0+4</f>
        <v>44</v>
      </c>
      <c r="K8" s="10"/>
      <c r="L8" s="10"/>
      <c r="M8" s="10"/>
      <c r="N8" s="10">
        <f>0+0+0+0+0+0+0+0+1+0+1+0+0+0+0+0+0+0+0+0+0</f>
        <v>2</v>
      </c>
      <c r="O8" s="27">
        <f>0+0+0+0+0+0+0+0+1+0+0.5+0+0+0+0+0+0+0+0+0+0</f>
        <v>1.5</v>
      </c>
      <c r="P8" s="10">
        <f>1+0+1+6+2+0+1+0+2+0+3+1+3+2+0+2+1+3+0+3+0</f>
        <v>31</v>
      </c>
      <c r="Q8" s="10">
        <f>1+0+0+0+1+0+1+1+2+0+0+0+0+0+0+0+0+0+0+0+2</f>
        <v>8</v>
      </c>
      <c r="R8" s="37">
        <f t="shared" si="4"/>
        <v>2.2727272727272729</v>
      </c>
      <c r="S8" s="37">
        <f t="shared" si="0"/>
        <v>2</v>
      </c>
      <c r="T8" s="41">
        <v>5</v>
      </c>
    </row>
    <row r="9" spans="1:23" x14ac:dyDescent="0.2">
      <c r="A9" s="10">
        <v>2</v>
      </c>
      <c r="B9" s="10" t="s">
        <v>36</v>
      </c>
      <c r="C9" t="s">
        <v>68</v>
      </c>
      <c r="D9" s="10">
        <v>21</v>
      </c>
      <c r="E9" s="10">
        <f>0+0+0+0+0+0+0+0+0+1+0+0+0+0+0+0+0+0+0+0+0</f>
        <v>1</v>
      </c>
      <c r="F9" s="10">
        <f>0+0+0+0+0+0+0+0+0+0+0+0+0+0+0+0+0+0+0+0+0</f>
        <v>0</v>
      </c>
      <c r="G9" s="10">
        <f>0+0+0+0+0+0+0+0+0+0+0+0+0+0+0+0+0+0+0+0</f>
        <v>0</v>
      </c>
      <c r="H9" s="10">
        <f t="shared" si="2"/>
        <v>0</v>
      </c>
      <c r="I9" s="26">
        <f>F9/E9</f>
        <v>0</v>
      </c>
      <c r="J9" s="10">
        <f>1+0+1+0+1+3+1+0+2+1+0+0+0+2+0+0+2+0+0+1+1</f>
        <v>16</v>
      </c>
      <c r="K9" s="10"/>
      <c r="L9" s="10"/>
      <c r="M9" s="10"/>
      <c r="N9" s="10">
        <f>0+1+0+1+0+0+0+0+1+0+0+0+0+0+0+0+0+0+0+1+0</f>
        <v>4</v>
      </c>
      <c r="O9" s="27">
        <f>0+1+0+1+0+0+0+0+1+0+0+0+0+0+0+0+0+0+0+0.5+0</f>
        <v>3.5</v>
      </c>
      <c r="P9" s="10">
        <f>1+0+0+0+1+2+1+0+1+0+0+0+0+1+1+0+0+0+0+0+1</f>
        <v>9</v>
      </c>
      <c r="Q9" s="10">
        <f>0+0+0+0+1+0+2+0+1+0+0+0+0+0+0+0+0+1+0+0+0</f>
        <v>5</v>
      </c>
      <c r="R9" s="37">
        <f t="shared" si="4"/>
        <v>1.6153846153846154</v>
      </c>
      <c r="S9" s="37">
        <f t="shared" si="0"/>
        <v>0.38095238095238093</v>
      </c>
      <c r="T9" s="54">
        <v>9</v>
      </c>
      <c r="U9" s="55" t="s">
        <v>120</v>
      </c>
      <c r="V9">
        <f>F3+F4+F5+F6+F7+F8+F12+F13+F14+F19+F23+F27</f>
        <v>189</v>
      </c>
      <c r="W9" s="57">
        <f>V9/F45</f>
        <v>0.71052631578947367</v>
      </c>
    </row>
    <row r="10" spans="1:23" x14ac:dyDescent="0.2">
      <c r="A10" s="10">
        <v>3</v>
      </c>
      <c r="B10" s="10" t="s">
        <v>36</v>
      </c>
      <c r="C10" t="s">
        <v>65</v>
      </c>
      <c r="D10" s="10">
        <v>21</v>
      </c>
      <c r="E10" s="10">
        <f>7+7+8+4+12+8+3+10+2+12+0+4+6+2+8+4+5+3+13+1+5</f>
        <v>124</v>
      </c>
      <c r="F10" s="10">
        <f>5+4+1+0+2+2+3+4+0+4+0+1+1+0+2+2+1+1+4+0+1</f>
        <v>38</v>
      </c>
      <c r="G10" s="10">
        <f>0+1+3+2+1+1+2+1+0+1+0+0+0+4+3+2+0+0+2+0+1</f>
        <v>24</v>
      </c>
      <c r="H10" s="10">
        <f t="shared" si="2"/>
        <v>62</v>
      </c>
      <c r="I10" s="26">
        <f t="shared" si="3"/>
        <v>0.30645161290322581</v>
      </c>
      <c r="J10" s="10">
        <f>3+1+2+0+1+4+3+3+2+6+1+2+1+3+4+3+0+0+6+1+5</f>
        <v>51</v>
      </c>
      <c r="K10" s="10">
        <f>1+7</f>
        <v>8</v>
      </c>
      <c r="L10" s="10">
        <f>1+6</f>
        <v>7</v>
      </c>
      <c r="M10" s="26">
        <f>L10/K10</f>
        <v>0.875</v>
      </c>
      <c r="N10" s="10">
        <f>0+0+0+0+0+0+0+0+0+0+0+0+0+0+2+1+1+0+0+0+0</f>
        <v>4</v>
      </c>
      <c r="O10" s="27">
        <f>0+0+0+0+0+0+0+0+0+0+0+0+0+0+2+1+1+0+0+0+0</f>
        <v>4</v>
      </c>
      <c r="P10" s="10">
        <f>0+0+2+2+0+2+0+0+2+3+1+0+3+0+1+1+1+1+0+1+2</f>
        <v>22</v>
      </c>
      <c r="Q10" s="10">
        <f>1+0+1+0+1+1+2+2+0+1+0+0+1+0+0+1+0+0+0+1+1</f>
        <v>13</v>
      </c>
      <c r="R10" s="37">
        <f t="shared" si="4"/>
        <v>4.8461538461538458</v>
      </c>
      <c r="S10" s="37">
        <f t="shared" si="0"/>
        <v>4.7619047619047619</v>
      </c>
      <c r="T10" s="41">
        <v>2</v>
      </c>
      <c r="U10" s="55" t="s">
        <v>121</v>
      </c>
      <c r="V10">
        <f>G3+G4+G5+G6+G7+G8+G12+G13+G14+G19+G27</f>
        <v>112</v>
      </c>
      <c r="W10" s="56">
        <f>V10/G45</f>
        <v>0.7567567567567568</v>
      </c>
    </row>
    <row r="11" spans="1:23" x14ac:dyDescent="0.2">
      <c r="A11" s="10">
        <v>4</v>
      </c>
      <c r="B11" s="10" t="s">
        <v>36</v>
      </c>
      <c r="C11" t="s">
        <v>84</v>
      </c>
      <c r="D11" s="10">
        <v>20</v>
      </c>
      <c r="E11" s="10">
        <f>0+0+0+0+0+0+0+0+0+1+0+0+0+0+0+0+0+0+1+0+0</f>
        <v>2</v>
      </c>
      <c r="F11" s="10">
        <f>0+0+0+0+0+0+0+0+0+0+0+0+0+0+0+0+0+0+1+0+0</f>
        <v>1</v>
      </c>
      <c r="G11" s="10">
        <f>0+0+0+0+0+0+0+0+0+0+0+0+0+0+0+0+0+0+0+0+0</f>
        <v>0</v>
      </c>
      <c r="H11" s="10">
        <f t="shared" si="2"/>
        <v>1</v>
      </c>
      <c r="I11" s="26">
        <f t="shared" si="3"/>
        <v>0.5</v>
      </c>
      <c r="J11" s="10">
        <f>0+0+0+0+0+0+0+0+0+0+0+0+1+0+0+0+0+0+1+0+2</f>
        <v>4</v>
      </c>
      <c r="N11" s="10">
        <f>0+0+0+0+0+0+2+0+0+0+1+0+0+0+0+0+0+0+0+0+0</f>
        <v>3</v>
      </c>
      <c r="O11" s="27">
        <f>0+0+0+0+0+0+1.5+0+0+0+1+0+0+0+0+0+0+0+0+0+0</f>
        <v>2.5</v>
      </c>
      <c r="P11" s="10">
        <f>0+0+0+0+0+0+0+0+0+0+0+0+0+0+0+0+1+0+0+0+0</f>
        <v>1</v>
      </c>
      <c r="Q11" s="10">
        <f>0+0+0+0+0+1+0+0+0+0+0+0+0+0+0+1+0+1+1+0+1</f>
        <v>5</v>
      </c>
      <c r="R11" s="37">
        <f t="shared" si="4"/>
        <v>2.5</v>
      </c>
      <c r="S11" s="37">
        <f t="shared" si="0"/>
        <v>0.3</v>
      </c>
      <c r="T11" s="54">
        <v>10</v>
      </c>
      <c r="U11" s="55" t="s">
        <v>122</v>
      </c>
      <c r="V11">
        <f>J3+J4+J5+J6+J7+J8+J12+J13+J14+J16+J19+J27+J28+J30+J32+J33+J37</f>
        <v>744</v>
      </c>
      <c r="W11" s="56">
        <f>V11/J45</f>
        <v>0.8</v>
      </c>
    </row>
    <row r="12" spans="1:23" x14ac:dyDescent="0.2">
      <c r="A12" s="10">
        <v>5</v>
      </c>
      <c r="B12" s="10" t="s">
        <v>36</v>
      </c>
      <c r="C12" t="s">
        <v>85</v>
      </c>
      <c r="D12" s="10">
        <v>18</v>
      </c>
      <c r="E12" s="10">
        <f>0+2+0+0+0+0+1+0+0+1+0+0+0+0+0+1+0+0+0+0+0</f>
        <v>5</v>
      </c>
      <c r="F12" s="10">
        <f>0+0+0+0+0+0+0+0+0+1+0+0+0+0+0+1+0+0+0+0+0</f>
        <v>2</v>
      </c>
      <c r="G12" s="10">
        <f>0+0+0+0+0+0+0+0+0+0+0+0+0+0+0+0+0+0+1+0+0</f>
        <v>1</v>
      </c>
      <c r="H12" s="10">
        <f t="shared" si="2"/>
        <v>3</v>
      </c>
      <c r="I12" s="26">
        <f t="shared" si="3"/>
        <v>0.4</v>
      </c>
      <c r="J12" s="10">
        <f>0+5+1+0+0+0+1+0+0+1+0+0+0+0+0+1+0+0+0+0+0</f>
        <v>9</v>
      </c>
      <c r="K12" s="10">
        <f>0+7+0+0+0+0+0+0+0+1+0+0+0+0</f>
        <v>8</v>
      </c>
      <c r="L12" s="10">
        <f>0+4+0+0+0+0+0+0+0+0+0+0+0+0</f>
        <v>4</v>
      </c>
      <c r="M12" s="26">
        <f>L12/K12</f>
        <v>0.5</v>
      </c>
      <c r="N12" s="10">
        <f>0+1+0+0+0+0+0+0+0+0+0+0+0+0+0+0+0+0+0+0</f>
        <v>1</v>
      </c>
      <c r="O12" s="27">
        <f>0+2+0+0+0+0+0+0+0+0+0+0+0+0+0+0+0+0+0+0+0</f>
        <v>2</v>
      </c>
      <c r="P12" s="10">
        <f>0+2+1+0+1+0+0+1+0+0+0+0+1+0+1+0+0+0+0+0+0</f>
        <v>7</v>
      </c>
      <c r="Q12" s="10">
        <f>0+2+0+0+0+0+1+2+0+0+0+0+0+0+1+0+0+0+0+0</f>
        <v>6</v>
      </c>
      <c r="R12" s="37">
        <f t="shared" si="4"/>
        <v>2.25</v>
      </c>
      <c r="S12" s="37">
        <f t="shared" si="0"/>
        <v>0.55555555555555558</v>
      </c>
      <c r="T12" s="41">
        <v>7</v>
      </c>
      <c r="U12" t="s">
        <v>123</v>
      </c>
      <c r="V12">
        <f>Q3+Q4+Q5+Q6+Q7+Q8+Q12+Q13+Q14+Q16+Q19+Q27+Q28+Q30+Q32+Q33+Q37</f>
        <v>178</v>
      </c>
      <c r="W12" s="56">
        <f>V12/Q45</f>
        <v>0.7807017543859649</v>
      </c>
    </row>
    <row r="13" spans="1:23" x14ac:dyDescent="0.2">
      <c r="A13" s="10">
        <v>6</v>
      </c>
      <c r="B13" s="10" t="s">
        <v>36</v>
      </c>
      <c r="C13" t="s">
        <v>86</v>
      </c>
      <c r="D13" s="10">
        <v>20</v>
      </c>
      <c r="E13" s="10">
        <f>1+0+1+0+0+0+1+1+0+5+0+0+0+0+0+0+0+0+1+0+0</f>
        <v>10</v>
      </c>
      <c r="F13" s="10">
        <f>1+0+0+0+0+0+0+1+0+1+2+0+0+0+0+0+0+0+0+0+0+0</f>
        <v>5</v>
      </c>
      <c r="G13" s="10">
        <f>2+1+0+0+1+0+1+1+0+1+0+0+0+0+0+0+0+0+0+0+0</f>
        <v>7</v>
      </c>
      <c r="H13" s="10">
        <f t="shared" si="2"/>
        <v>12</v>
      </c>
      <c r="I13" s="26">
        <f t="shared" si="3"/>
        <v>0.5</v>
      </c>
      <c r="J13" s="10">
        <f>2+4+1+0+3+0+4+5+2+5+1+0+1+0+0+0+1+1+1+0+0</f>
        <v>31</v>
      </c>
      <c r="K13" s="10"/>
      <c r="L13" s="10"/>
      <c r="M13" s="26"/>
      <c r="N13" s="10">
        <f>0+0+0+0+1+0+1+1+0+0+0+0+1+2+0+0+0+0+1+0+0</f>
        <v>7</v>
      </c>
      <c r="O13" s="27">
        <f>0+0+0+0+0.5+0+1+0.5+0+0+0+0+0.5+1+0+0+0+0+1+0+0</f>
        <v>4.5</v>
      </c>
      <c r="P13" s="10">
        <f>0+2+1+0+4+0+3+0+1+0+2+1+1+0+2+0+1+1+2+1+0</f>
        <v>22</v>
      </c>
      <c r="Q13" s="10">
        <f>1+0+0+0+1+0+0+0+2+0+0+0+0+0+1+0+0+0+0+0+1</f>
        <v>6</v>
      </c>
      <c r="R13" s="37">
        <f t="shared" si="4"/>
        <v>1.6896551724137931</v>
      </c>
      <c r="S13" s="37">
        <f t="shared" si="0"/>
        <v>1</v>
      </c>
      <c r="T13" s="41">
        <v>6</v>
      </c>
    </row>
    <row r="14" spans="1:23" x14ac:dyDescent="0.2">
      <c r="A14" s="10">
        <v>7</v>
      </c>
      <c r="B14" s="10" t="s">
        <v>36</v>
      </c>
      <c r="C14" t="s">
        <v>74</v>
      </c>
      <c r="D14" s="10">
        <v>17</v>
      </c>
      <c r="E14" s="10">
        <f>1+4+0+0+0+0+5+9+2+0+0+0+0+1+1+3+0+0+4+0+1</f>
        <v>31</v>
      </c>
      <c r="F14" s="10">
        <f>0+1+0+0+0+0+1+0+0+0+0+0+0+0+0+1+0+0+1+0+0</f>
        <v>4</v>
      </c>
      <c r="G14" s="10">
        <f>0+3+1+0+0+0+1+0+0+0+0+0+0+0+0+1+0+0+0+0+0</f>
        <v>6</v>
      </c>
      <c r="H14" s="10">
        <f t="shared" si="1"/>
        <v>10</v>
      </c>
      <c r="I14" s="26">
        <f t="shared" si="3"/>
        <v>0.12903225806451613</v>
      </c>
      <c r="J14" s="10">
        <f>2+6+1+0+0+1+7+1+2+2+0+0+0+0+2+8+0+1+2+2+6</f>
        <v>43</v>
      </c>
      <c r="K14" s="10">
        <f>0+6+0+1+0+0+2+1+1+4+0+0+0+0+1+5+0+0+0+17+22</f>
        <v>60</v>
      </c>
      <c r="L14" s="10">
        <f>0+4+0+0+0+0+2+1+0+3+0+0+0+0+1+5+0+0+0+3+12</f>
        <v>31</v>
      </c>
      <c r="M14" s="26">
        <f>L14/K14</f>
        <v>0.51666666666666672</v>
      </c>
      <c r="N14" s="10">
        <f>0+0+0+0+0+0+0+0+0+0+0+0+0+0+1+0+0+0+0+0</f>
        <v>1</v>
      </c>
      <c r="O14" s="27">
        <f>0+0+0+0+0+0+0+0+0+0+0+0+0+0+0+0.5+0+0+0+0+0</f>
        <v>0.5</v>
      </c>
      <c r="P14" s="10">
        <f>2+0+0+0+0+0+2+0+1+0+0+0+0+0+1+2+0+0+1+0+3</f>
        <v>12</v>
      </c>
      <c r="Q14" s="10">
        <f>0+1+0+0+0+0+0+0+0+1+0+0+0+0+0+1+0+0+0+0+1</f>
        <v>4</v>
      </c>
      <c r="R14" s="37">
        <f t="shared" si="4"/>
        <v>4.384615384615385</v>
      </c>
      <c r="S14" s="37">
        <f t="shared" si="0"/>
        <v>2.5882352941176472</v>
      </c>
      <c r="T14" s="41">
        <v>4</v>
      </c>
      <c r="U14" s="55" t="s">
        <v>124</v>
      </c>
      <c r="V14">
        <f>P3+P4+P5+P6+P7+P8+P12+P13+P14+P16+P19+P27+P28+P30+P32+P33+P37</f>
        <v>283</v>
      </c>
      <c r="W14" s="56">
        <f>V14/P45</f>
        <v>0.75265957446808507</v>
      </c>
    </row>
    <row r="15" spans="1:23" x14ac:dyDescent="0.2">
      <c r="A15" s="48">
        <v>12</v>
      </c>
      <c r="B15" s="48" t="s">
        <v>36</v>
      </c>
      <c r="C15" s="49" t="s">
        <v>87</v>
      </c>
      <c r="D15" s="48">
        <v>1</v>
      </c>
      <c r="E15" s="48">
        <f t="shared" ref="E15:G15" si="5">0+0+0+0+0</f>
        <v>0</v>
      </c>
      <c r="F15" s="48">
        <f t="shared" si="5"/>
        <v>0</v>
      </c>
      <c r="G15" s="48">
        <f t="shared" si="5"/>
        <v>0</v>
      </c>
      <c r="H15" s="48">
        <f>F15+G15</f>
        <v>0</v>
      </c>
      <c r="I15" s="50" t="e">
        <f>F15/E15</f>
        <v>#DIV/0!</v>
      </c>
      <c r="J15" s="48">
        <f>0+1+0+0+0</f>
        <v>1</v>
      </c>
      <c r="K15" s="48"/>
      <c r="L15" s="48"/>
      <c r="M15" s="49"/>
      <c r="N15" s="48">
        <f>0+1+0+0+0</f>
        <v>1</v>
      </c>
      <c r="O15" s="51">
        <f>0+1+0+0+0</f>
        <v>1</v>
      </c>
      <c r="P15" s="48">
        <f>0+0+0+0+0</f>
        <v>0</v>
      </c>
      <c r="Q15" s="48">
        <f>0+1+0+0+0</f>
        <v>1</v>
      </c>
      <c r="R15" s="37">
        <f t="shared" si="4"/>
        <v>2</v>
      </c>
      <c r="S15" s="37">
        <f t="shared" si="0"/>
        <v>1</v>
      </c>
      <c r="T15" s="52" t="s">
        <v>113</v>
      </c>
    </row>
    <row r="16" spans="1:23" x14ac:dyDescent="0.2">
      <c r="A16" s="10">
        <v>14</v>
      </c>
      <c r="B16" s="10" t="s">
        <v>36</v>
      </c>
      <c r="C16" t="s">
        <v>88</v>
      </c>
      <c r="D16" s="10">
        <v>17</v>
      </c>
      <c r="E16" s="10">
        <f>0+0+0+0+0+0+0+4+0+0+0+0+0+0+0+0+0+0+0+0+0</f>
        <v>4</v>
      </c>
      <c r="F16" s="10">
        <f>0+0+0+0+0+0+0+0+0+0+0+0+0+0+0+0+0+0+0+0+0</f>
        <v>0</v>
      </c>
      <c r="G16" s="10">
        <f>0+0+0+0+0+0+0+0+0+0+0+0+0+0+0+0+0+0+0+0+0</f>
        <v>0</v>
      </c>
      <c r="H16" s="10">
        <f>F16+G16</f>
        <v>0</v>
      </c>
      <c r="I16" s="26">
        <f t="shared" si="3"/>
        <v>0</v>
      </c>
      <c r="J16" s="10">
        <f>0+1+0+0+0+0+0+2+0+0+0+0+0+0+0+0+0+0+0+0+1+0</f>
        <v>4</v>
      </c>
      <c r="K16" s="10"/>
      <c r="L16" s="10"/>
      <c r="M16" s="26"/>
      <c r="N16" s="10">
        <f>0+0+0+1+0+0+0+0+0+0+0+0+0+0+0+0+1+0+0+0+0</f>
        <v>2</v>
      </c>
      <c r="O16" s="27">
        <f>0+0+0+0.5+0+0+0+0+0+0+0+0+0+0+0+0+0.5+0+0+0+0</f>
        <v>1</v>
      </c>
      <c r="P16" s="10">
        <f>0+0+0+0+0+0+2+0+0+0+0+0+0+0+0+0+0+0+0+0+0</f>
        <v>2</v>
      </c>
      <c r="Q16" s="10">
        <f>0+0+0+0+0+0+1+0+0+1+0+0+0+0+0+0+0+0+0+1+0</f>
        <v>3</v>
      </c>
      <c r="R16" s="37">
        <f t="shared" si="4"/>
        <v>1.75</v>
      </c>
      <c r="S16" s="37">
        <f t="shared" si="0"/>
        <v>0.17647058823529413</v>
      </c>
      <c r="T16" s="54">
        <v>11</v>
      </c>
    </row>
    <row r="17" spans="1:20" x14ac:dyDescent="0.2">
      <c r="A17" s="48">
        <v>16</v>
      </c>
      <c r="B17" s="48" t="s">
        <v>36</v>
      </c>
      <c r="C17" s="49" t="s">
        <v>89</v>
      </c>
      <c r="D17" s="48">
        <v>2</v>
      </c>
      <c r="E17" s="48">
        <f>0+1+0+0+0</f>
        <v>1</v>
      </c>
      <c r="F17" s="48">
        <f>0+0+0+0+0</f>
        <v>0</v>
      </c>
      <c r="G17" s="48">
        <f>0+0+0+0+0</f>
        <v>0</v>
      </c>
      <c r="H17" s="48">
        <f>F17+G17</f>
        <v>0</v>
      </c>
      <c r="I17" s="50">
        <f t="shared" si="3"/>
        <v>0</v>
      </c>
      <c r="J17" s="48">
        <f>0+1+0+0+0</f>
        <v>1</v>
      </c>
      <c r="K17" s="48"/>
      <c r="L17" s="48"/>
      <c r="M17" s="49"/>
      <c r="N17" s="48">
        <f>1+0+0+0+0</f>
        <v>1</v>
      </c>
      <c r="O17" s="51">
        <f>0.5+0+0+0+0</f>
        <v>0.5</v>
      </c>
      <c r="P17" s="48">
        <f>0+1+0+0+0</f>
        <v>1</v>
      </c>
      <c r="Q17" s="48">
        <f>0+0+0+0+0</f>
        <v>0</v>
      </c>
      <c r="R17" s="39">
        <f t="shared" si="4"/>
        <v>0.5</v>
      </c>
      <c r="S17" s="39">
        <f t="shared" si="0"/>
        <v>-0.5</v>
      </c>
      <c r="T17" s="52" t="s">
        <v>113</v>
      </c>
    </row>
    <row r="18" spans="1:20" x14ac:dyDescent="0.2">
      <c r="A18" s="10">
        <v>18</v>
      </c>
      <c r="B18" s="10" t="s">
        <v>36</v>
      </c>
      <c r="C18" t="s">
        <v>90</v>
      </c>
      <c r="D18" s="10">
        <v>8</v>
      </c>
      <c r="E18" s="10">
        <f>0+0+0+0+0+0+0+0+0+0+0+0+0+0+0+0+0+0+0+0</f>
        <v>0</v>
      </c>
      <c r="F18" s="10">
        <f>0+0+0+0+0+0+0+0+0+0+0+0+0+0+0+0+0+0+0+0</f>
        <v>0</v>
      </c>
      <c r="G18" s="10">
        <f>0+0+0+0+0+0+0+0+0+0+0+0+0+0+0+0+0+0+0+0</f>
        <v>0</v>
      </c>
      <c r="H18" s="10">
        <f>F18+G18</f>
        <v>0</v>
      </c>
      <c r="I18" s="26" t="e">
        <f t="shared" si="3"/>
        <v>#DIV/0!</v>
      </c>
      <c r="J18" s="10">
        <f>0+0+0+0+0+0+1+0+1+0+0+0+0+0+0+0+0+0+0+0+0</f>
        <v>2</v>
      </c>
      <c r="K18" s="10"/>
      <c r="L18" s="10"/>
      <c r="M18" s="26"/>
      <c r="N18" s="10">
        <f>0+0+0+0+0+0+0+0+0+0+0+0+0+0+0+0+0+0+0+0</f>
        <v>0</v>
      </c>
      <c r="O18" s="27">
        <f>0+0+0+0+0+0+0+0+0+0+0+0+0+0+0+0+0+0+0+0</f>
        <v>0</v>
      </c>
      <c r="P18" s="10">
        <f>0+1+0+0+0+0+1+0+0+0+0+0+0+0+0+0+0+0+0+0</f>
        <v>2</v>
      </c>
      <c r="Q18" s="10">
        <f>0+0+0+0+0+0+0+0+0+0+0+0+0+0+0+0+0+0+0+0</f>
        <v>0</v>
      </c>
      <c r="R18" s="27">
        <f t="shared" si="4"/>
        <v>1</v>
      </c>
      <c r="S18" s="27">
        <f t="shared" si="0"/>
        <v>0</v>
      </c>
      <c r="T18" s="54">
        <v>13</v>
      </c>
    </row>
    <row r="19" spans="1:20" x14ac:dyDescent="0.2">
      <c r="A19" s="10">
        <v>19</v>
      </c>
      <c r="B19" s="10" t="s">
        <v>36</v>
      </c>
      <c r="C19" t="s">
        <v>81</v>
      </c>
      <c r="D19" s="10">
        <v>20</v>
      </c>
      <c r="E19" s="10">
        <f>2+0+0+0+1+1+1+1+0+0+0+0+0+0+0+2+0+0+1+1+0</f>
        <v>10</v>
      </c>
      <c r="F19" s="10">
        <f>0+0+0+0+0+0+1+0+0+0+0+0+0+0+0+0+0+0+0+0+0</f>
        <v>1</v>
      </c>
      <c r="G19" s="10">
        <f>0+1+1+0+1+0+0+0+0+0+0+0+0+0+0+0+0+0+0+0+0</f>
        <v>3</v>
      </c>
      <c r="H19" s="10">
        <f>F19+G19</f>
        <v>4</v>
      </c>
      <c r="I19" s="26">
        <f t="shared" si="3"/>
        <v>0.1</v>
      </c>
      <c r="J19" s="10">
        <f>8+2+10+1+12+11+11+6+0+5+1+13+5+8+10+11+1+2+12+1+0</f>
        <v>130</v>
      </c>
      <c r="K19" s="10">
        <f>25+10+28+23+24+23+24+23+15+19+6+32+23+23+24+20+15+13+24+10+0</f>
        <v>404</v>
      </c>
      <c r="L19" s="10">
        <f>22+9+19+6+22+17+17+17+6+15+2+21+16+15+20+18+8+8+23+5+0</f>
        <v>286</v>
      </c>
      <c r="M19" s="26">
        <f>L19/K19</f>
        <v>0.70792079207920788</v>
      </c>
      <c r="N19" s="10">
        <f>0+0+0+0+0+0+0+0+0+0+0+0+0+0+0+0+0+0+0+0+0</f>
        <v>0</v>
      </c>
      <c r="O19" s="27">
        <f>0+0+0+0+0+0+0+0+0+0+0+0+0+0+0+0+0+0+0+0+0</f>
        <v>0</v>
      </c>
      <c r="P19" s="10">
        <f>0+0+0+0+1+3+0+0+0+1+0+4+1+1+0+0+1+1+2+0+0</f>
        <v>15</v>
      </c>
      <c r="Q19" s="10">
        <f>0+0+0+0+1+0+0+0+0+0+0+0+0+0+0+0+1+0+0+0+0</f>
        <v>2</v>
      </c>
      <c r="R19" s="37">
        <f t="shared" si="4"/>
        <v>9.0666666666666664</v>
      </c>
      <c r="S19" s="37">
        <f t="shared" si="0"/>
        <v>6.05</v>
      </c>
      <c r="T19" s="41">
        <v>1</v>
      </c>
    </row>
    <row r="20" spans="1:20" x14ac:dyDescent="0.2">
      <c r="A20" s="10">
        <v>21</v>
      </c>
      <c r="B20" s="10" t="s">
        <v>36</v>
      </c>
      <c r="C20" t="s">
        <v>69</v>
      </c>
      <c r="D20" s="10">
        <v>18</v>
      </c>
      <c r="E20" s="10">
        <f>3+5+6+3+6+3+10+7+2+0+0+0+2+9+11+9+8+1+11+6+11</f>
        <v>113</v>
      </c>
      <c r="F20" s="10">
        <f>2+2+2+1+2+1+6+3+0+0+0+0+1+2+3+2+1+0+3+3+3</f>
        <v>37</v>
      </c>
      <c r="G20" s="10">
        <f>1+2+1+0+0+0+1+0+0+0+0+0+0+0+1+0+2+0+2+0+1</f>
        <v>11</v>
      </c>
      <c r="H20" s="10">
        <f t="shared" si="1"/>
        <v>48</v>
      </c>
      <c r="I20" s="26">
        <f t="shared" si="3"/>
        <v>0.32743362831858408</v>
      </c>
      <c r="J20" s="10">
        <f>4+4+3+1+2+1+6+5+3+0+0+0+3+1+6+3+0+0+2+1+4</f>
        <v>49</v>
      </c>
      <c r="K20" s="10"/>
      <c r="L20" s="10"/>
      <c r="M20" s="11"/>
      <c r="N20" s="10">
        <f>0+0+0+1+0+0+0+0+2+0+0+0+0+0+0+0+0+1+0+0+1</f>
        <v>5</v>
      </c>
      <c r="O20" s="27">
        <f>0+0+0+1+0+0+0+0+2.5+0+0+0+0+0+0+0+0+1+0+0+1</f>
        <v>5.5</v>
      </c>
      <c r="P20" s="10">
        <f>1+0+2+0+1+3+0+1+1+0+0+0+0+1+1+1+2+2+1+2+1</f>
        <v>20</v>
      </c>
      <c r="Q20" s="10">
        <f>0+1+0+1+0+0+1+1+1+0+0+0+0+0+1+1+0+0+0+0+0</f>
        <v>7</v>
      </c>
      <c r="R20" s="37">
        <f t="shared" si="4"/>
        <v>4.16</v>
      </c>
      <c r="S20" s="37">
        <f t="shared" si="0"/>
        <v>4.3888888888888893</v>
      </c>
      <c r="T20" s="41">
        <v>3</v>
      </c>
    </row>
    <row r="21" spans="1:20" x14ac:dyDescent="0.2">
      <c r="A21" s="10">
        <v>22</v>
      </c>
      <c r="B21" s="10" t="s">
        <v>36</v>
      </c>
      <c r="C21" t="s">
        <v>80</v>
      </c>
      <c r="D21" s="10">
        <v>21</v>
      </c>
      <c r="E21" s="10">
        <f>0+0+0+0+0+0+0+0+0+0+0+0+0+0+0+0+0+0+0+0+0</f>
        <v>0</v>
      </c>
      <c r="F21" s="10">
        <f>0+0+0+0+0+0+0+0+0+0+0+0+0+0+0+0+0+0+0+0+0</f>
        <v>0</v>
      </c>
      <c r="G21" s="10">
        <f>0+0+0+0+0+0+0+0+0+0+0+0+0+0+0+0+0+0+0+0+0</f>
        <v>0</v>
      </c>
      <c r="H21" s="10">
        <f t="shared" si="1"/>
        <v>0</v>
      </c>
      <c r="I21" s="26" t="e">
        <f t="shared" si="3"/>
        <v>#DIV/0!</v>
      </c>
      <c r="J21" s="10">
        <f>0+0+0+0+0+0+0+0+1+1+0+1+0+0+0+0+0+0+0+0+0</f>
        <v>3</v>
      </c>
      <c r="N21" s="10">
        <f>0+1+0+0+1+0+0+0+0+0+0+0+0+0+0+0+0+0+0+0+1</f>
        <v>3</v>
      </c>
      <c r="O21" s="27">
        <f>0+1+0+1+0+0+0+0+0+0+0+0+0+0+0+0+0+0+0+1</f>
        <v>3</v>
      </c>
      <c r="P21" s="10">
        <f>0+0+0+0+0+0+0+0+0+1+0+0+0+0+0+0+0+0+0+0+0</f>
        <v>1</v>
      </c>
      <c r="Q21" s="10">
        <f>0+0+0+0+0+0+0+1+0+0+0+0+0+0+0+0+0+0+0+0+0</f>
        <v>1</v>
      </c>
      <c r="R21" s="27">
        <f t="shared" si="4"/>
        <v>1</v>
      </c>
      <c r="S21" s="27">
        <f t="shared" si="0"/>
        <v>0</v>
      </c>
      <c r="T21" s="54">
        <v>13</v>
      </c>
    </row>
    <row r="22" spans="1:20" x14ac:dyDescent="0.2">
      <c r="A22" s="10">
        <v>23</v>
      </c>
      <c r="B22" s="10" t="s">
        <v>36</v>
      </c>
      <c r="C22" t="s">
        <v>82</v>
      </c>
      <c r="D22" s="10">
        <v>4</v>
      </c>
      <c r="E22" s="10">
        <f>0+0+0+0+0+0+0+0+0+0+0+0+0+0+0+0+0+0</f>
        <v>0</v>
      </c>
      <c r="F22" s="10">
        <f>0+0+0+0+0+0+0+0+0+0+0+0+0+0+0+0+0+0</f>
        <v>0</v>
      </c>
      <c r="G22" s="10">
        <f>0+0+0+0+0+0+0+0+0+0+0+0+0+0+0+0+0+0</f>
        <v>0</v>
      </c>
      <c r="H22" s="10">
        <f t="shared" ref="H22:H28" si="6">F22+G22</f>
        <v>0</v>
      </c>
      <c r="I22" s="26" t="e">
        <f>F22/E22</f>
        <v>#DIV/0!</v>
      </c>
      <c r="J22" s="10">
        <f>0+0+0+0+0+0+0+0+0+0+0+0+0+0+0+0+0+0</f>
        <v>0</v>
      </c>
      <c r="K22" s="10"/>
      <c r="L22" s="10"/>
      <c r="N22" s="10">
        <f>0+1+0+0+0+0+0+0+0+0+0+0+0+0+0+0+0+0</f>
        <v>1</v>
      </c>
      <c r="O22" s="27">
        <f>0+1+0+0+0+0+0+0+0+0+0+0+0+0+0+0+0+0</f>
        <v>1</v>
      </c>
      <c r="P22" s="10">
        <f>0+0+0+0+0+0+0+0+0+0+0+0+0+0+0+0+0+0</f>
        <v>0</v>
      </c>
      <c r="Q22" s="10">
        <f>0+0+0+0+0+0+0+0+0+0+0+0+0+0+0+0+0+0</f>
        <v>0</v>
      </c>
      <c r="R22" s="39">
        <f t="shared" si="4"/>
        <v>0</v>
      </c>
      <c r="S22" s="39">
        <f t="shared" si="0"/>
        <v>-0.25</v>
      </c>
      <c r="T22" s="41">
        <v>15</v>
      </c>
    </row>
    <row r="23" spans="1:20" x14ac:dyDescent="0.2">
      <c r="A23" s="10">
        <v>26</v>
      </c>
      <c r="B23" s="10" t="s">
        <v>36</v>
      </c>
      <c r="C23" t="s">
        <v>79</v>
      </c>
      <c r="D23" s="10">
        <v>2</v>
      </c>
      <c r="E23" s="10">
        <f>0+0+0+0+0+0+1+0+0+0+0+0+0+0+0+0+0</f>
        <v>1</v>
      </c>
      <c r="F23" s="10">
        <f>0+0+0+0+0+0+1+0+0+0+0+0+0+0+0+0+0</f>
        <v>1</v>
      </c>
      <c r="G23" s="10">
        <f>0+0+0+0+0+0+0+0+0+0+0+0+0+0+0+0+0</f>
        <v>0</v>
      </c>
      <c r="H23" s="10">
        <f t="shared" si="6"/>
        <v>1</v>
      </c>
      <c r="I23" s="26">
        <f t="shared" si="3"/>
        <v>1</v>
      </c>
      <c r="J23" s="10">
        <f>0+0+0+0+0+0+0+0+0+0+0+0+0+0+0+0+0</f>
        <v>0</v>
      </c>
      <c r="K23" s="10">
        <f>3</f>
        <v>3</v>
      </c>
      <c r="L23" s="10">
        <f>2</f>
        <v>2</v>
      </c>
      <c r="M23" s="26">
        <f>L23/K23</f>
        <v>0.66666666666666663</v>
      </c>
      <c r="N23" s="10">
        <f>0+0+0+0+0+0+0+0+0+0+0+0+0+0+0+0+0</f>
        <v>0</v>
      </c>
      <c r="O23" s="27">
        <f>0+0+0+0+0+0+0+0+0+0+0+0+0+0+0+0+0</f>
        <v>0</v>
      </c>
      <c r="P23" s="10">
        <f>0+0+0+0+0+0+0+0+0+0+0+0+0+0+0+0+0</f>
        <v>0</v>
      </c>
      <c r="Q23" s="10">
        <f>0+0+0+0+0+0+0+0+0+0+0+0+0+0+0+0+0</f>
        <v>0</v>
      </c>
      <c r="R23" s="27" t="e">
        <f t="shared" si="4"/>
        <v>#DIV/0!</v>
      </c>
      <c r="S23" s="37">
        <f t="shared" si="0"/>
        <v>0.5</v>
      </c>
      <c r="T23" s="41">
        <v>8</v>
      </c>
    </row>
    <row r="24" spans="1:20" x14ac:dyDescent="0.2">
      <c r="A24" s="10">
        <v>27</v>
      </c>
      <c r="B24" s="10" t="s">
        <v>36</v>
      </c>
      <c r="C24" t="s">
        <v>91</v>
      </c>
      <c r="D24" s="10">
        <v>18</v>
      </c>
      <c r="E24" s="10">
        <f>0+2+0+0+3+0+1+0+0+3+0+0+1+0+0+3+0+0+0+0+0</f>
        <v>13</v>
      </c>
      <c r="F24" s="10">
        <f>0+1+0+0+0+0+0+0+0+0+0+0+0+0+0+0+0+0+0+0+0</f>
        <v>1</v>
      </c>
      <c r="G24" s="10">
        <f>0+0+0+0+0+0+0+0+0+0+0+0+0+0+0+0+0+0+0+0+0</f>
        <v>0</v>
      </c>
      <c r="H24" s="10">
        <f t="shared" si="6"/>
        <v>1</v>
      </c>
      <c r="I24" s="26">
        <f t="shared" si="3"/>
        <v>7.6923076923076927E-2</v>
      </c>
      <c r="J24" s="10">
        <f>1+1+1+0+0+0+2+0+0+0+0+0+0+0+2+0+0+0+1+0+0+0</f>
        <v>8</v>
      </c>
      <c r="K24" s="10"/>
      <c r="L24" s="10"/>
      <c r="N24" s="10">
        <f>0+0+0+0+0+0+0+0+0+0+0+0+0+0+0+0+0+0+0+0+0</f>
        <v>0</v>
      </c>
      <c r="O24" s="27">
        <f>0+0+0+0+0+0+0+0+0+0+0+0+0+0+0+0+0+0+0+0+0</f>
        <v>0</v>
      </c>
      <c r="P24" s="10">
        <f>0+0+0+0+1+1+1+0+0+1+1+0+1+0+2+1+0+0+1+0+0</f>
        <v>10</v>
      </c>
      <c r="Q24" s="10">
        <f>0+0+0+0+0+1+0+0+0+1+0+0+0+0+0+0+0+0+1+0+0</f>
        <v>3</v>
      </c>
      <c r="R24" s="37">
        <f t="shared" si="4"/>
        <v>1.2</v>
      </c>
      <c r="S24" s="37">
        <f t="shared" si="0"/>
        <v>0.1111111111111111</v>
      </c>
      <c r="T24" s="41">
        <v>12</v>
      </c>
    </row>
    <row r="25" spans="1:20" x14ac:dyDescent="0.2">
      <c r="A25" s="48">
        <v>99</v>
      </c>
      <c r="B25" s="48" t="s">
        <v>36</v>
      </c>
      <c r="C25" s="49" t="s">
        <v>96</v>
      </c>
      <c r="D25" s="48">
        <v>2</v>
      </c>
      <c r="E25" s="48">
        <f>2+2+0+0+0</f>
        <v>4</v>
      </c>
      <c r="F25" s="48">
        <f>0+0+0+0+0</f>
        <v>0</v>
      </c>
      <c r="G25" s="48">
        <f>0+1+0+0+0</f>
        <v>1</v>
      </c>
      <c r="H25" s="48">
        <f t="shared" si="6"/>
        <v>1</v>
      </c>
      <c r="I25" s="50">
        <f t="shared" si="3"/>
        <v>0</v>
      </c>
      <c r="J25" s="48">
        <f>2+5+0+0+0</f>
        <v>7</v>
      </c>
      <c r="K25" s="48"/>
      <c r="L25" s="48"/>
      <c r="M25" s="50"/>
      <c r="N25" s="48">
        <f>0+1+0+0+0</f>
        <v>1</v>
      </c>
      <c r="O25" s="51">
        <f>0+1+0+0+0</f>
        <v>1</v>
      </c>
      <c r="P25" s="48">
        <f>4+0+0+0+0</f>
        <v>4</v>
      </c>
      <c r="Q25" s="48">
        <f>0+0+0+0+0</f>
        <v>0</v>
      </c>
      <c r="R25" s="37">
        <f t="shared" si="4"/>
        <v>1.6</v>
      </c>
      <c r="S25" s="37">
        <f t="shared" si="0"/>
        <v>1.5</v>
      </c>
      <c r="T25" s="52" t="s">
        <v>113</v>
      </c>
    </row>
    <row r="26" spans="1:20" x14ac:dyDescent="0.2">
      <c r="A26" s="10">
        <v>99</v>
      </c>
      <c r="B26" s="10" t="s">
        <v>36</v>
      </c>
      <c r="C26" t="s">
        <v>108</v>
      </c>
      <c r="D26" s="10">
        <v>3</v>
      </c>
      <c r="E26" s="10">
        <f>0+0+0+0</f>
        <v>0</v>
      </c>
      <c r="F26" s="10">
        <f>0+0+0+0</f>
        <v>0</v>
      </c>
      <c r="G26" s="10">
        <f>0+0+0+0</f>
        <v>0</v>
      </c>
      <c r="H26" s="10">
        <f t="shared" si="6"/>
        <v>0</v>
      </c>
      <c r="I26" s="53" t="e">
        <f t="shared" si="3"/>
        <v>#DIV/0!</v>
      </c>
      <c r="J26" s="10">
        <f>0+0+0+0</f>
        <v>0</v>
      </c>
      <c r="K26" s="10"/>
      <c r="L26" s="10"/>
      <c r="M26" s="53"/>
      <c r="N26" s="10">
        <f>0+0+1+0</f>
        <v>1</v>
      </c>
      <c r="O26" s="27">
        <f>0+0+1+0</f>
        <v>1</v>
      </c>
      <c r="P26" s="10">
        <f>0+0+0+0</f>
        <v>0</v>
      </c>
      <c r="Q26" s="10">
        <f>0+0+0+0</f>
        <v>0</v>
      </c>
      <c r="R26" s="39">
        <f t="shared" si="4"/>
        <v>0</v>
      </c>
      <c r="S26" s="39">
        <f t="shared" si="0"/>
        <v>-0.33333333333333331</v>
      </c>
      <c r="T26" s="52">
        <v>16</v>
      </c>
    </row>
    <row r="27" spans="1:20" x14ac:dyDescent="0.2">
      <c r="A27" s="10">
        <v>17</v>
      </c>
      <c r="B27" s="10" t="s">
        <v>61</v>
      </c>
      <c r="C27" t="s">
        <v>70</v>
      </c>
      <c r="D27" s="10">
        <v>21</v>
      </c>
      <c r="E27" s="10">
        <f>3+2+4+3+0+6+2+5+2+4+3+2+0+0+2+2+0+1+5+0+2</f>
        <v>48</v>
      </c>
      <c r="F27" s="10">
        <f>0+0+1+1+0+1+2+1+0+2+0+0+0+0+0+0+0+0+1+0+0</f>
        <v>9</v>
      </c>
      <c r="G27" s="10">
        <f>0+1+0+0+0+1+0+0+0+1+0+0+0+0+0+1+0+0+0+0+0</f>
        <v>4</v>
      </c>
      <c r="H27" s="10">
        <f t="shared" si="6"/>
        <v>13</v>
      </c>
      <c r="I27" s="26">
        <f t="shared" si="3"/>
        <v>0.1875</v>
      </c>
      <c r="J27" s="10">
        <f>8+5+10+5+10+14+3+15+10+11+2+7+4+6+8+6+4+4+12+4+6</f>
        <v>154</v>
      </c>
      <c r="K27" s="10">
        <f>2+16+0+0+0+0+0+1+6+0+1+2</f>
        <v>28</v>
      </c>
      <c r="L27" s="10">
        <f>0+5+0+0+0+0+0+0+1+0+0+1</f>
        <v>7</v>
      </c>
      <c r="M27" s="26">
        <f>L27/K27</f>
        <v>0.25</v>
      </c>
      <c r="N27" s="10">
        <f>2+1+2+3+1+0+0+1+1+0+3+2+1+3+2+0+3+0+1+4+2</f>
        <v>32</v>
      </c>
      <c r="O27" s="27">
        <f>1.5+1+2+1.5+1+0+0+0.5+1+0+3+1.5+1+3+1.5+0+2.5+0+0.5+2.5+1</f>
        <v>25</v>
      </c>
      <c r="P27" s="10">
        <f>1+0+3+0+2+2+0+0+3+0+4+4+3+3+1+0+1+1+1+2+0</f>
        <v>31</v>
      </c>
      <c r="Q27" s="10">
        <f>2+2+3+3+3+5+2+3+3+3+2+3+3+2+2+2+3+2+3+3+3</f>
        <v>57</v>
      </c>
      <c r="R27" s="37">
        <f>(J27+H28+Q27)/(N27+P27)</f>
        <v>3.3492063492063493</v>
      </c>
      <c r="S27" s="37">
        <f>(H28+J27+Q27-N27-P27)/D27</f>
        <v>7.0476190476190474</v>
      </c>
      <c r="T27" s="42">
        <v>1</v>
      </c>
    </row>
    <row r="28" spans="1:20" x14ac:dyDescent="0.2">
      <c r="A28" s="10">
        <v>8</v>
      </c>
      <c r="B28" s="10" t="s">
        <v>61</v>
      </c>
      <c r="C28" t="s">
        <v>92</v>
      </c>
      <c r="D28" s="10">
        <v>20</v>
      </c>
      <c r="E28" s="10">
        <f>0+0+0+0+0+0+0+0+0+0+0+0+0+0+0+0+0+0+0+0+0</f>
        <v>0</v>
      </c>
      <c r="F28" s="10">
        <f>0+0+0+0+0+0+0+0+0+0+0+0+0+0+0+0+0+0+0+0+0</f>
        <v>0</v>
      </c>
      <c r="G28" s="10">
        <f>0+0+0+0+0+0+0+0+0+0+0+0+0+0+0+0+0+0+0+0+0</f>
        <v>0</v>
      </c>
      <c r="H28" s="10">
        <f t="shared" si="6"/>
        <v>0</v>
      </c>
      <c r="I28" s="26" t="e">
        <f t="shared" si="3"/>
        <v>#DIV/0!</v>
      </c>
      <c r="J28" s="10">
        <f>1+3+0+0+2+2+7+0+0+1+0+0+0+1+0+0+0+1+0+0+0</f>
        <v>18</v>
      </c>
      <c r="K28" s="10">
        <f>1</f>
        <v>1</v>
      </c>
      <c r="L28" s="10">
        <f>0</f>
        <v>0</v>
      </c>
      <c r="M28" s="26">
        <f>L28/K28</f>
        <v>0</v>
      </c>
      <c r="N28" s="10">
        <f>0+0+0+1+0+1+0+0+0+0+0+0+0+0+0+0+0+0+0+0+0</f>
        <v>2</v>
      </c>
      <c r="O28" s="27">
        <f>0+0+0+1+0+0.5+0+0+0+0+0+0+0+0+0+0+0+0+0+0+0</f>
        <v>1.5</v>
      </c>
      <c r="P28" s="10">
        <f>0+1+0+0+0+1+1+1+0+0+0+1+0+0+0+0+0+1+0+0+0</f>
        <v>6</v>
      </c>
      <c r="Q28" s="10">
        <f>0+2+0+1+0+1+2+1+1+0+1+0+0+0+1+0+0+0+0+0+0</f>
        <v>10</v>
      </c>
      <c r="R28" s="37">
        <f>(J28+H29+Q28)/(N28+P28)</f>
        <v>3.5</v>
      </c>
      <c r="S28" s="37">
        <f>(H29+J28+Q28-N28-P28)/D28</f>
        <v>1</v>
      </c>
      <c r="T28" s="10">
        <v>4</v>
      </c>
    </row>
    <row r="29" spans="1:20" x14ac:dyDescent="0.2">
      <c r="A29" s="10">
        <v>10</v>
      </c>
      <c r="B29" s="10" t="s">
        <v>37</v>
      </c>
      <c r="C29" t="s">
        <v>75</v>
      </c>
      <c r="D29" s="10">
        <v>21</v>
      </c>
      <c r="E29" s="10">
        <f>0+0+0+0+0+0+0+0+0+1+0+0+0+0+0+0+0+0+0+0+0</f>
        <v>1</v>
      </c>
      <c r="F29" s="10">
        <f>0+0+0+0+0+0+0+0+0+0+0+0+0+0+0+0+0+0+0+0+0</f>
        <v>0</v>
      </c>
      <c r="G29" s="10">
        <f>0+0+0+0+0+0+0+0+0+0+0+0+0+0+0+0+0+0+0+0+0</f>
        <v>0</v>
      </c>
      <c r="H29" s="10">
        <f t="shared" ref="H29" si="7">F28+G28</f>
        <v>0</v>
      </c>
      <c r="I29" s="26">
        <f t="shared" si="3"/>
        <v>0</v>
      </c>
      <c r="J29" s="10">
        <f>4+3+4+2+0+3+3+2+2+3+1+0+3+3+1+1+2+0+0+0+3</f>
        <v>40</v>
      </c>
      <c r="K29" s="10"/>
      <c r="L29" s="10"/>
      <c r="M29" s="26"/>
      <c r="N29" s="10">
        <f>0+0+0+1+1+0+0+0+0+0+0+0+0+2+0+1+0+0+0+0+1</f>
        <v>6</v>
      </c>
      <c r="O29" s="27">
        <f>0+0+0+1+1+0+0+0+0+0+0+0+0+2+0+0.5+0+0+0+0+1</f>
        <v>5.5</v>
      </c>
      <c r="P29" s="10">
        <f>1+0+1+0+0+1+2+0+1+0+3+0+3+1+1+0+1+1+0+5+1</f>
        <v>22</v>
      </c>
      <c r="Q29" s="10">
        <f>1+0+2+0+0+1+0+0+1+1+2+0+0+1+0+1+2+0+0+0+0</f>
        <v>12</v>
      </c>
      <c r="R29" s="37">
        <f t="shared" si="4"/>
        <v>1.8571428571428572</v>
      </c>
      <c r="S29" s="37">
        <f t="shared" ref="S29:S31" si="8">(H29+J29+Q29-N29-P29)/D29</f>
        <v>1.1428571428571428</v>
      </c>
      <c r="T29" s="10">
        <v>3</v>
      </c>
    </row>
    <row r="30" spans="1:20" x14ac:dyDescent="0.2">
      <c r="A30" s="10">
        <v>11</v>
      </c>
      <c r="B30" s="10" t="s">
        <v>37</v>
      </c>
      <c r="C30" t="s">
        <v>67</v>
      </c>
      <c r="D30" s="10">
        <v>14</v>
      </c>
      <c r="E30" s="10">
        <f>0+0+0+0+0+0+0+0+0+0+0+0+0+0+0+0+0+0+0+0+0</f>
        <v>0</v>
      </c>
      <c r="F30" s="10">
        <f>0+0+0+0+0+0+0+0+0+0+0+0+0+0+0+0+0+0+0+0+0</f>
        <v>0</v>
      </c>
      <c r="G30" s="10">
        <f>0+0+0+0+0+0+0+0+0+0+0+0+0+0+0+0+0+0+0+0+0</f>
        <v>0</v>
      </c>
      <c r="H30" s="10">
        <f>F29+G29</f>
        <v>0</v>
      </c>
      <c r="I30" s="26" t="e">
        <f t="shared" si="3"/>
        <v>#DIV/0!</v>
      </c>
      <c r="J30" s="10">
        <f>1+0+2+0+0+0+0+0+0+0+1+0+1+2+0+2+0+0+2+1+1</f>
        <v>13</v>
      </c>
      <c r="K30" s="10"/>
      <c r="L30" s="10"/>
      <c r="M30" s="10"/>
      <c r="N30" s="10">
        <f>0+0+0+0+0+0+0+0+0+0+2+1+0+1+2+0+0+0+1+0+1</f>
        <v>8</v>
      </c>
      <c r="O30" s="27">
        <f>0+0+0+0+0+0+0+0+0+0+2+1+0+1+1.5+0+0+0+1+0+1</f>
        <v>7.5</v>
      </c>
      <c r="P30" s="10">
        <f>1+0+0+0+0+0+0+0+0+0+0+0+0+1+0+0+0+0+0+2+1</f>
        <v>5</v>
      </c>
      <c r="Q30" s="10">
        <f>0+1+0+0+0+0+0+0+0+0+1+0+0+0+0+0+0+0+2+0+1</f>
        <v>5</v>
      </c>
      <c r="R30" s="37">
        <f t="shared" si="4"/>
        <v>1.3846153846153846</v>
      </c>
      <c r="S30" s="37">
        <f t="shared" si="8"/>
        <v>0.35714285714285715</v>
      </c>
      <c r="T30" s="10">
        <v>6</v>
      </c>
    </row>
    <row r="31" spans="1:20" x14ac:dyDescent="0.2">
      <c r="A31" s="10">
        <v>20</v>
      </c>
      <c r="B31" s="10" t="s">
        <v>37</v>
      </c>
      <c r="C31" t="s">
        <v>93</v>
      </c>
      <c r="D31" s="10">
        <v>5</v>
      </c>
      <c r="E31" s="10">
        <f>0+0+0+0+0+0+0+0+0+0+0+0+0+0+0+0+0+0+0</f>
        <v>0</v>
      </c>
      <c r="F31" s="10">
        <f>0+0+0+0+0+0+0+0+0+0+0+0+0+0+0+0+0+0+0</f>
        <v>0</v>
      </c>
      <c r="G31" s="10">
        <f>0+0+0+0+0+0+0+0+0+0+0+0+0+0+0+0+0+0+0</f>
        <v>0</v>
      </c>
      <c r="H31" s="10">
        <f>F30+G30</f>
        <v>0</v>
      </c>
      <c r="I31" s="26" t="e">
        <f t="shared" si="3"/>
        <v>#DIV/0!</v>
      </c>
      <c r="J31" s="10">
        <f>0+1+0+0+0+0+0+0+0+0+0+0+0+0+0+0+0+0+0</f>
        <v>1</v>
      </c>
      <c r="K31" s="10"/>
      <c r="L31" s="10"/>
      <c r="M31" s="10"/>
      <c r="N31" s="10">
        <f>0+0+0+0+0+0+0+0+0+0+0+0+0+0+0+0+0+0+0</f>
        <v>0</v>
      </c>
      <c r="O31" s="27">
        <f>0+0+0+0+0+0+0+0+0+0+0+0+0+0+0+0+0+0+0</f>
        <v>0</v>
      </c>
      <c r="P31" s="10">
        <f>0+0+0+0+0+0+0+0+0+0+0+0+0+0+0+0+0+0+0</f>
        <v>0</v>
      </c>
      <c r="Q31" s="10">
        <f>0+2+0+0+0+0+0+0+0+0+0+0+0+0+0+0+0+0+0</f>
        <v>2</v>
      </c>
      <c r="R31" s="27" t="e">
        <f t="shared" si="4"/>
        <v>#DIV/0!</v>
      </c>
      <c r="S31" s="37">
        <f t="shared" si="8"/>
        <v>0.6</v>
      </c>
      <c r="T31" s="10">
        <v>5</v>
      </c>
    </row>
    <row r="32" spans="1:20" x14ac:dyDescent="0.2">
      <c r="A32" s="10">
        <v>24</v>
      </c>
      <c r="B32" s="10" t="s">
        <v>37</v>
      </c>
      <c r="C32" t="s">
        <v>76</v>
      </c>
      <c r="D32" s="10">
        <v>20</v>
      </c>
      <c r="E32" s="10">
        <f>0+0+0+0+0+0+0+0+0+1+0+0+0+0+0+0+0+0+0+0+0</f>
        <v>1</v>
      </c>
      <c r="F32" s="10">
        <f>0+0+0+0+0+0+0+0+0+0+0+0+0+0+0+0+0+0+0+0+0</f>
        <v>0</v>
      </c>
      <c r="G32" s="10">
        <f>0+0+0+0+0+0+0+0+0+0+0+0+0+0+0+0+0+0+0+0+0</f>
        <v>0</v>
      </c>
      <c r="H32" s="10">
        <f t="shared" ref="H32:H33" si="9">F31+G31</f>
        <v>0</v>
      </c>
      <c r="I32" s="26">
        <f t="shared" ref="I32:I34" si="10">F32/E32</f>
        <v>0</v>
      </c>
      <c r="J32" s="10">
        <f>4+2+1+2+2+3+3+3+4+8+6+4+2+1+2+1+2+0+0+2+2</f>
        <v>54</v>
      </c>
      <c r="K32" s="10"/>
      <c r="L32" s="10"/>
      <c r="M32" s="10"/>
      <c r="N32" s="10">
        <f>1+0+1+0+1+0+1+1+0+0+0+0+0+1+2+0+1+0+0+1+0</f>
        <v>10</v>
      </c>
      <c r="O32" s="27">
        <f>0.5+0+1+0+1+0+1+1+0+0+0+0+0+1+2+0+0.5+0+0+0.5+0</f>
        <v>8.5</v>
      </c>
      <c r="P32" s="10">
        <f>0+0+0+0+0+1+0+0+1+0+4+2+1+1+2+0+1+1+0+0+1</f>
        <v>15</v>
      </c>
      <c r="Q32" s="10">
        <f>2+0+3+0+3+2+2+0+2+2+0+0+1+0+1+2+1+0+0+0+2</f>
        <v>23</v>
      </c>
      <c r="R32" s="37">
        <f t="shared" ref="R32:R34" si="11">(J32+H32+Q32)/(N32+P32)</f>
        <v>3.08</v>
      </c>
      <c r="S32" s="37">
        <f t="shared" ref="S32:S34" si="12">(H32+J32+Q32-N32-P32)/D32</f>
        <v>2.6</v>
      </c>
      <c r="T32" s="10">
        <v>1</v>
      </c>
    </row>
    <row r="33" spans="1:20" x14ac:dyDescent="0.2">
      <c r="A33" s="10">
        <v>25</v>
      </c>
      <c r="B33" s="10" t="s">
        <v>37</v>
      </c>
      <c r="C33" t="s">
        <v>94</v>
      </c>
      <c r="D33" s="10">
        <v>18</v>
      </c>
      <c r="E33" s="10">
        <f>0+0+0+0+0+0+0+0+0+0+1+0+0+0+0+0+0+0+0+2+0+0</f>
        <v>3</v>
      </c>
      <c r="F33" s="10">
        <f t="shared" ref="F33:G34" si="13">0+0+0+0+0+0+0+0+0+0+0+0+0+0+0+0+0+0+0+0</f>
        <v>0</v>
      </c>
      <c r="G33" s="10">
        <f>0+0+0+0+0+0+0+0+0+0+0+0+0+0+0+0+0+0+0+0+0</f>
        <v>0</v>
      </c>
      <c r="H33" s="10">
        <f t="shared" si="9"/>
        <v>0</v>
      </c>
      <c r="I33" s="26">
        <f t="shared" si="10"/>
        <v>0</v>
      </c>
      <c r="J33" s="10">
        <f>2+1+0+0+0+0+2+0+0+5+0+1+1+3+1+1+0+4+2+0+1</f>
        <v>24</v>
      </c>
      <c r="K33" s="10">
        <f>1</f>
        <v>1</v>
      </c>
      <c r="L33" s="10">
        <f>0</f>
        <v>0</v>
      </c>
      <c r="M33" s="26">
        <f>L33/K33</f>
        <v>0</v>
      </c>
      <c r="N33" s="10">
        <f>0+1+0+0+1+0+0+0+0+0+0+0+1+0+1+0+0+1+1+1+0</f>
        <v>7</v>
      </c>
      <c r="O33" s="27">
        <f>0+1+0+0+1+0+0+0+0+0+0+0+1+0+1+0+0+1+0.5+1+0</f>
        <v>6.5</v>
      </c>
      <c r="P33" s="10">
        <f>0+0+0+0+0+0+1+0+0+0+0+0+1+0+1+0+0+1+0+0+0</f>
        <v>4</v>
      </c>
      <c r="Q33" s="10">
        <f>1+1+0+0+0+0+1+0+0+1+0+0+0+1+0+0+1+2+0+2+0</f>
        <v>10</v>
      </c>
      <c r="R33" s="37">
        <f t="shared" si="11"/>
        <v>3.0909090909090908</v>
      </c>
      <c r="S33" s="37">
        <f t="shared" si="12"/>
        <v>1.2777777777777777</v>
      </c>
      <c r="T33" s="10">
        <v>2</v>
      </c>
    </row>
    <row r="34" spans="1:20" x14ac:dyDescent="0.2">
      <c r="A34" s="10">
        <v>28</v>
      </c>
      <c r="B34" s="10" t="s">
        <v>37</v>
      </c>
      <c r="C34" t="s">
        <v>95</v>
      </c>
      <c r="D34" s="10">
        <v>16</v>
      </c>
      <c r="E34" s="10">
        <f>0+0+0+0+0+0+0+0+0+0+0+0+0+0+0+0+0+0+0+0</f>
        <v>0</v>
      </c>
      <c r="F34" s="10">
        <f t="shared" si="13"/>
        <v>0</v>
      </c>
      <c r="G34" s="10">
        <f t="shared" si="13"/>
        <v>0</v>
      </c>
      <c r="H34" s="10">
        <f>F33+G33</f>
        <v>0</v>
      </c>
      <c r="I34" s="26" t="e">
        <f t="shared" si="10"/>
        <v>#DIV/0!</v>
      </c>
      <c r="J34" s="10">
        <f>0+1+0+0+0+0+0+0+0+1+0+0+0+0+1+0+0+0+0+0</f>
        <v>3</v>
      </c>
      <c r="K34" s="10"/>
      <c r="L34" s="10"/>
      <c r="M34" s="10"/>
      <c r="N34" s="10">
        <f>0+0+0+0+0+0+0+0+0+0+0+0+0+0+0+0+0+0+0+0</f>
        <v>0</v>
      </c>
      <c r="O34" s="27">
        <f>0+0+0+0+0+0+0+0+0+0+0+0+0+0+0+0+0+0+0+0</f>
        <v>0</v>
      </c>
      <c r="P34" s="10">
        <f>0+0+0+0+0+0+0+0+0+0+0+0+0+0+0+0+0+1+0+0</f>
        <v>1</v>
      </c>
      <c r="Q34" s="10">
        <f>0+0+0+0+0+0+0+0+0+1+0+0+0+0+0+0+0+0+0+0</f>
        <v>1</v>
      </c>
      <c r="R34" s="37">
        <f t="shared" si="11"/>
        <v>4</v>
      </c>
      <c r="S34" s="37">
        <f t="shared" si="12"/>
        <v>0.1875</v>
      </c>
      <c r="T34" s="10">
        <v>7</v>
      </c>
    </row>
    <row r="35" spans="1:20" x14ac:dyDescent="0.2"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27"/>
      <c r="R35" s="27"/>
    </row>
    <row r="36" spans="1:20" x14ac:dyDescent="0.2">
      <c r="D36" s="10"/>
      <c r="E36" s="10"/>
      <c r="F36" s="10"/>
      <c r="G36" s="10"/>
      <c r="H36" s="10"/>
      <c r="I36" s="26"/>
      <c r="J36" s="10"/>
      <c r="K36" s="10"/>
      <c r="L36" s="10"/>
      <c r="M36" s="10"/>
      <c r="N36" s="10"/>
      <c r="O36" s="33"/>
      <c r="R36" s="27"/>
      <c r="S36" s="27"/>
    </row>
    <row r="37" spans="1:20" x14ac:dyDescent="0.2">
      <c r="A37" s="10">
        <v>31</v>
      </c>
      <c r="B37" s="10" t="s">
        <v>38</v>
      </c>
      <c r="C37" t="s">
        <v>77</v>
      </c>
      <c r="D37" s="10">
        <v>21</v>
      </c>
      <c r="E37" s="10">
        <f>0+0+0+0+0+0+0+0+0+0+0+0+0+0+0+0+0+0+0+0+0</f>
        <v>0</v>
      </c>
      <c r="F37" s="10">
        <f>0+0+0+0+0+0+0+0+0+0+0+0+0+0+0+0+0+0+0+0+0</f>
        <v>0</v>
      </c>
      <c r="G37" s="10">
        <f>0+0+0+0+0+0+0+0+0+0+0+0+0+0+0+0+0+0+0+0+0</f>
        <v>0</v>
      </c>
      <c r="H37" s="10">
        <f>F37+G37</f>
        <v>0</v>
      </c>
      <c r="I37" s="26" t="e">
        <f t="shared" ref="I37" si="14">F37/E37</f>
        <v>#DIV/0!</v>
      </c>
      <c r="J37" s="10">
        <f>3+2+0+2+0+2+3+3+1+1+0+0+0+2+2+0+2+2+1+1+0</f>
        <v>27</v>
      </c>
      <c r="K37" s="10"/>
      <c r="L37" s="10"/>
      <c r="M37" s="10"/>
      <c r="N37" s="10">
        <f>0+0+0+0+0+0+0+0+0+0+0+0+0+0+0+0+0+0+0+0+0</f>
        <v>0</v>
      </c>
      <c r="O37" s="33">
        <f>0+0+0+0+0+0+0+0+0+0+0+0+0+0+0+0+0+0+0+0+0</f>
        <v>0</v>
      </c>
      <c r="P37" s="10">
        <f>2+0+0+4+0+0+1+0+2+0+3+1+3+3+0+0+2+2+0+3+1</f>
        <v>27</v>
      </c>
      <c r="Q37" s="10">
        <f>0+0+0+0+0+0+0+1+0+0+1+0+0+1+0+0+0+0+0+0</f>
        <v>3</v>
      </c>
      <c r="R37" s="37">
        <f>(J37+H37)+(F48/3)/(N37+P37)</f>
        <v>29.469135802469136</v>
      </c>
      <c r="S37" s="37">
        <f>((H37+J37-N37-P37)+(F48/3))/D37</f>
        <v>3.1746031746031749</v>
      </c>
      <c r="T37" s="42">
        <v>1</v>
      </c>
    </row>
    <row r="38" spans="1:20" x14ac:dyDescent="0.2">
      <c r="D38" s="10"/>
      <c r="E38" s="10"/>
      <c r="F38" s="10"/>
      <c r="G38" s="10"/>
      <c r="H38" s="10"/>
      <c r="I38" s="10"/>
      <c r="J38" s="10"/>
      <c r="K38" s="10"/>
      <c r="L38" s="10"/>
      <c r="O38" s="27"/>
    </row>
    <row r="39" spans="1:20" x14ac:dyDescent="0.2">
      <c r="A39" s="10" t="s">
        <v>118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>
        <f>2</f>
        <v>2</v>
      </c>
      <c r="O39" s="27">
        <f>1</f>
        <v>1</v>
      </c>
    </row>
    <row r="40" spans="1:20" x14ac:dyDescent="0.2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33"/>
      <c r="P40" s="33"/>
      <c r="Q40" s="33"/>
      <c r="S40" s="27"/>
    </row>
    <row r="41" spans="1:20" x14ac:dyDescent="0.2">
      <c r="D41" s="10"/>
      <c r="E41" s="10"/>
      <c r="F41" s="10"/>
      <c r="G41" s="10"/>
      <c r="H41" s="10"/>
      <c r="I41" s="10"/>
      <c r="J41" s="10"/>
      <c r="K41" s="10"/>
      <c r="L41" s="10"/>
      <c r="N41" s="10"/>
      <c r="O41" s="10"/>
    </row>
    <row r="42" spans="1:20" x14ac:dyDescent="0.2">
      <c r="A42" s="10" t="s">
        <v>52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20" x14ac:dyDescent="0.2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20" x14ac:dyDescent="0.2">
      <c r="D44" s="10"/>
      <c r="E44" s="10"/>
      <c r="F44" s="10"/>
      <c r="G44" s="10"/>
      <c r="H44" s="10"/>
      <c r="I44" s="10"/>
      <c r="J44" s="10"/>
      <c r="K44" s="15"/>
      <c r="L44" s="15"/>
      <c r="M44" s="15"/>
      <c r="N44" s="10"/>
      <c r="O44" s="10"/>
      <c r="P44" s="15"/>
      <c r="Q44" s="15"/>
    </row>
    <row r="45" spans="1:20" x14ac:dyDescent="0.2">
      <c r="C45" s="12" t="s">
        <v>30</v>
      </c>
      <c r="D45" s="10"/>
      <c r="E45" s="13">
        <f>SUM(E3:E44)</f>
        <v>822</v>
      </c>
      <c r="F45" s="13">
        <f>SUM(F3:F44)</f>
        <v>266</v>
      </c>
      <c r="G45" s="13">
        <f>SUM(G3:G44)</f>
        <v>148</v>
      </c>
      <c r="H45" s="10"/>
      <c r="I45" s="38">
        <f t="shared" ref="I45" si="15">F45/E45</f>
        <v>0.32360097323600973</v>
      </c>
      <c r="J45" s="13">
        <f>SUM(J3:J44)</f>
        <v>930</v>
      </c>
      <c r="K45" s="10">
        <f>SUM(K3:K44)</f>
        <v>513</v>
      </c>
      <c r="L45" s="10">
        <f>SUM(L3:L44)</f>
        <v>337</v>
      </c>
      <c r="M45" s="11">
        <f>L45/K45</f>
        <v>0.65692007797270957</v>
      </c>
      <c r="N45" s="13">
        <f>SUM(N3:N44)</f>
        <v>126</v>
      </c>
      <c r="O45" s="13">
        <f>SUM(O3:O44)</f>
        <v>105.5</v>
      </c>
      <c r="P45" s="10">
        <f>SUM(P3:P44)</f>
        <v>376</v>
      </c>
      <c r="Q45" s="10">
        <f>SUM(Q3:Q44)</f>
        <v>228</v>
      </c>
    </row>
    <row r="46" spans="1:20" x14ac:dyDescent="0.2">
      <c r="N46" s="10">
        <f>N45/D53</f>
        <v>6</v>
      </c>
      <c r="P46" s="10">
        <f>P45/D53</f>
        <v>17.904761904761905</v>
      </c>
    </row>
    <row r="47" spans="1:20" ht="39" x14ac:dyDescent="0.2">
      <c r="C47" s="2"/>
      <c r="D47" s="3" t="s">
        <v>10</v>
      </c>
      <c r="E47" s="3" t="s">
        <v>59</v>
      </c>
      <c r="F47" s="3" t="s">
        <v>11</v>
      </c>
      <c r="G47" s="29" t="s">
        <v>56</v>
      </c>
      <c r="H47" s="3" t="s">
        <v>60</v>
      </c>
      <c r="I47" s="3"/>
    </row>
    <row r="48" spans="1:20" x14ac:dyDescent="0.2">
      <c r="C48" s="16" t="s">
        <v>77</v>
      </c>
      <c r="D48" s="5">
        <v>21</v>
      </c>
      <c r="E48" s="5">
        <f>18+4+18+31+6+21+12+4+19+8+28+30+25+31+14+8+20+23+16+32+20</f>
        <v>388</v>
      </c>
      <c r="F48" s="5">
        <f>13+4+11+15+4+12+7+2+13+6+12+11+10+18+7+7+14+8+10+12+4</f>
        <v>200</v>
      </c>
      <c r="G48" s="32">
        <f>F48/D37</f>
        <v>9.5238095238095237</v>
      </c>
      <c r="H48" s="26">
        <f>F48/E48</f>
        <v>0.51546391752577314</v>
      </c>
      <c r="I48" s="5"/>
      <c r="M48" s="19" t="s">
        <v>42</v>
      </c>
      <c r="N48" s="19" t="s">
        <v>43</v>
      </c>
    </row>
    <row r="49" spans="3:15" x14ac:dyDescent="0.2">
      <c r="D49" s="5"/>
      <c r="E49" s="5"/>
      <c r="F49" s="5"/>
      <c r="G49" s="32">
        <f>F49/D37</f>
        <v>0</v>
      </c>
      <c r="H49" s="26" t="e">
        <f>F49/E49</f>
        <v>#DIV/0!</v>
      </c>
      <c r="I49" s="5"/>
      <c r="K49" s="12" t="s">
        <v>31</v>
      </c>
      <c r="M49" s="10">
        <f>3+12+3+9+5+2+10+4+5+6+4+9+4+6+9+2+4+6+8+3+6</f>
        <v>120</v>
      </c>
      <c r="N49" s="10">
        <f>2.5+13+2.5+8+4.5+1.5+12.5+3.5+6+6.5+5+7+2.5+4.5+8.5+2+3.5+6+7+3+5.5</f>
        <v>115</v>
      </c>
      <c r="O49" s="14"/>
    </row>
    <row r="51" spans="3:15" x14ac:dyDescent="0.2">
      <c r="C51" s="16"/>
      <c r="D51" s="5"/>
      <c r="E51" s="5"/>
      <c r="F51" s="5"/>
      <c r="G51" s="32"/>
      <c r="H51" s="11"/>
      <c r="I51" s="5"/>
    </row>
    <row r="52" spans="3:15" x14ac:dyDescent="0.2">
      <c r="C52" s="6" t="s">
        <v>19</v>
      </c>
      <c r="D52" s="3" t="s">
        <v>29</v>
      </c>
      <c r="E52" s="3" t="s">
        <v>20</v>
      </c>
      <c r="F52" s="3" t="s">
        <v>21</v>
      </c>
      <c r="G52" s="17" t="s">
        <v>39</v>
      </c>
      <c r="I52" s="3"/>
      <c r="M52" s="18" t="s">
        <v>9</v>
      </c>
    </row>
    <row r="53" spans="3:15" x14ac:dyDescent="0.2">
      <c r="C53" s="4"/>
      <c r="D53" s="5">
        <v>21</v>
      </c>
      <c r="E53" s="5">
        <f>13+13+16+16+13+17+12+10+15+13+15+5+13+9+11+14+16+8+14+4+7</f>
        <v>254</v>
      </c>
      <c r="F53" s="5">
        <f>3+1+2+5+0+3+2+0+4+1+8+7+6+7+2+1+3+4+0+11+5</f>
        <v>75</v>
      </c>
      <c r="G53" s="36">
        <f>E53/(F53+E53)</f>
        <v>0.77203647416413379</v>
      </c>
      <c r="I53" s="5"/>
      <c r="K53" s="12" t="s">
        <v>40</v>
      </c>
      <c r="M53" s="27">
        <v>160.19999999999999</v>
      </c>
    </row>
    <row r="54" spans="3:15" x14ac:dyDescent="0.2">
      <c r="C54" s="4"/>
      <c r="D54" s="5"/>
      <c r="E54" s="5"/>
      <c r="F54" s="5"/>
      <c r="G54" s="2"/>
      <c r="I54" s="5"/>
    </row>
    <row r="55" spans="3:15" x14ac:dyDescent="0.2">
      <c r="C55" s="6" t="s">
        <v>27</v>
      </c>
      <c r="D55" s="3" t="s">
        <v>29</v>
      </c>
      <c r="E55" s="3" t="s">
        <v>20</v>
      </c>
      <c r="F55" s="3" t="s">
        <v>21</v>
      </c>
      <c r="G55" s="17" t="s">
        <v>39</v>
      </c>
      <c r="I55" s="3"/>
      <c r="K55" s="12" t="s">
        <v>41</v>
      </c>
      <c r="M55" s="27">
        <v>111.25</v>
      </c>
    </row>
    <row r="56" spans="3:15" x14ac:dyDescent="0.2">
      <c r="C56" s="4"/>
      <c r="D56" s="5">
        <v>21</v>
      </c>
      <c r="E56" s="5">
        <f>8+2+13+15+9+17+10+6+10+9+13+11+18+16+9+8+11+12+11+8+12</f>
        <v>228</v>
      </c>
      <c r="F56" s="5">
        <f>12+12+10+2+10+8+15+11+10+15+6+2+6+6+10+13+5+4+3+3+13</f>
        <v>176</v>
      </c>
      <c r="G56" s="36">
        <f>E56/(F56+E56)</f>
        <v>0.5643564356435643</v>
      </c>
      <c r="I56" s="5"/>
    </row>
    <row r="57" spans="3:15" x14ac:dyDescent="0.2">
      <c r="C57" s="4"/>
      <c r="D57" s="5"/>
      <c r="E57" s="5"/>
      <c r="F57" s="5"/>
      <c r="G57" s="2"/>
      <c r="I57" s="5"/>
    </row>
    <row r="58" spans="3:15" x14ac:dyDescent="0.2">
      <c r="C58" s="6" t="s">
        <v>22</v>
      </c>
      <c r="D58" s="3" t="s">
        <v>29</v>
      </c>
      <c r="E58" s="3" t="s">
        <v>23</v>
      </c>
      <c r="F58" s="3" t="s">
        <v>24</v>
      </c>
      <c r="G58" s="17" t="s">
        <v>39</v>
      </c>
      <c r="I58" s="3"/>
      <c r="K58" s="12" t="s">
        <v>53</v>
      </c>
      <c r="M58" s="10">
        <v>398</v>
      </c>
    </row>
    <row r="59" spans="3:15" x14ac:dyDescent="0.2">
      <c r="C59" s="4"/>
      <c r="D59" s="5">
        <v>21</v>
      </c>
      <c r="E59" s="5">
        <f>2+6+1+3+5+2+7+4+2+2+1+3+1+2+4+2+1+0+3+1+1</f>
        <v>53</v>
      </c>
      <c r="F59" s="5">
        <f>1+5+2+5+0+0+3+0+3+3+3+5+3+4+5+0+2+5+4+2+5</f>
        <v>60</v>
      </c>
      <c r="G59" s="36">
        <f>E59/(F59+E59)</f>
        <v>0.46902654867256638</v>
      </c>
      <c r="I59" s="5"/>
    </row>
    <row r="60" spans="3:15" x14ac:dyDescent="0.2">
      <c r="C60" s="4"/>
      <c r="D60" s="5"/>
      <c r="E60" s="5"/>
      <c r="F60" s="5"/>
      <c r="G60" s="2"/>
      <c r="I60" s="5"/>
      <c r="K60" s="24" t="s">
        <v>54</v>
      </c>
      <c r="L60" s="10">
        <f>33+35+31+12+32+22+29+35+21+45+7+16+15+21+26+38+13+6+41+12+29</f>
        <v>519</v>
      </c>
    </row>
    <row r="61" spans="3:15" x14ac:dyDescent="0.2">
      <c r="C61" s="6" t="s">
        <v>25</v>
      </c>
      <c r="D61" s="3" t="s">
        <v>29</v>
      </c>
      <c r="E61" s="3" t="s">
        <v>23</v>
      </c>
      <c r="F61" s="3" t="s">
        <v>24</v>
      </c>
      <c r="G61" s="17" t="s">
        <v>39</v>
      </c>
      <c r="I61" s="3"/>
    </row>
    <row r="62" spans="3:15" x14ac:dyDescent="0.2">
      <c r="C62" s="4"/>
      <c r="D62" s="5">
        <v>21</v>
      </c>
      <c r="E62" s="5">
        <f>1+0+3+6+0+0+0+0+1+0+4+2+1+3+3+1+0+1+3+5+2</f>
        <v>36</v>
      </c>
      <c r="F62" s="5">
        <f>4+10+1+4+2+2+6+4+4+0+3+1+2+3+8+2+6+1+2+3+6</f>
        <v>74</v>
      </c>
      <c r="G62" s="36">
        <f>E62/(F62+E62)</f>
        <v>0.32727272727272727</v>
      </c>
      <c r="I62" s="5"/>
      <c r="K62" s="24" t="s">
        <v>55</v>
      </c>
      <c r="L62" s="10">
        <f>18+4+18+31+6+21+12+4+19+8+28+30+25+31+14+8+20+23+16+32+20</f>
        <v>388</v>
      </c>
    </row>
    <row r="63" spans="3:15" x14ac:dyDescent="0.2">
      <c r="C63" s="4"/>
      <c r="D63" s="5"/>
      <c r="E63" s="5"/>
      <c r="F63" s="5"/>
      <c r="G63" s="2"/>
      <c r="I63" s="5"/>
    </row>
    <row r="64" spans="3:15" x14ac:dyDescent="0.2">
      <c r="C64" s="2"/>
      <c r="D64" s="2"/>
      <c r="E64" s="2"/>
      <c r="F64" s="2"/>
      <c r="G64" s="2"/>
      <c r="I64" s="2"/>
    </row>
    <row r="65" spans="1:9" x14ac:dyDescent="0.2">
      <c r="C65" s="6" t="s">
        <v>12</v>
      </c>
      <c r="D65" s="3" t="s">
        <v>13</v>
      </c>
      <c r="E65" s="3"/>
      <c r="F65" s="3" t="s">
        <v>14</v>
      </c>
      <c r="G65" s="2"/>
      <c r="I65" s="9"/>
    </row>
    <row r="66" spans="1:9" x14ac:dyDescent="0.2">
      <c r="C66" s="6" t="s">
        <v>15</v>
      </c>
      <c r="D66" s="7">
        <f>17+21+17+6+20+11+19+18+8+18+3+10+5+7+17+20+7+1+20+7+13</f>
        <v>265</v>
      </c>
      <c r="E66" s="7"/>
      <c r="F66" s="7">
        <f>5+0+7+16+2+9+5+2+6+2+16+19+15+13+7+1+6+15+6+20+16</f>
        <v>188</v>
      </c>
      <c r="G66" s="2"/>
      <c r="I66" s="9"/>
    </row>
    <row r="67" spans="1:9" x14ac:dyDescent="0.2">
      <c r="C67" s="6" t="s">
        <v>16</v>
      </c>
      <c r="D67" s="8">
        <f>D66/D62</f>
        <v>12.619047619047619</v>
      </c>
      <c r="E67" s="8"/>
      <c r="F67" s="8">
        <f>F66/D62</f>
        <v>8.9523809523809526</v>
      </c>
      <c r="G67" s="2"/>
      <c r="I67" s="8"/>
    </row>
    <row r="68" spans="1:9" x14ac:dyDescent="0.2">
      <c r="C68" s="6" t="s">
        <v>17</v>
      </c>
      <c r="D68" s="9" t="s">
        <v>117</v>
      </c>
      <c r="E68" s="9"/>
      <c r="F68" s="9" t="s">
        <v>119</v>
      </c>
      <c r="G68" s="9" t="s">
        <v>18</v>
      </c>
      <c r="I68" s="9"/>
    </row>
    <row r="73" spans="1:9" x14ac:dyDescent="0.2">
      <c r="C73" s="18" t="s">
        <v>44</v>
      </c>
      <c r="D73" s="19" t="s">
        <v>46</v>
      </c>
      <c r="E73" s="19" t="s">
        <v>47</v>
      </c>
      <c r="F73" s="19" t="s">
        <v>48</v>
      </c>
      <c r="G73" s="19" t="s">
        <v>49</v>
      </c>
      <c r="H73" s="19" t="s">
        <v>50</v>
      </c>
      <c r="I73" s="19"/>
    </row>
    <row r="74" spans="1:9" x14ac:dyDescent="0.2">
      <c r="H74" s="12"/>
    </row>
    <row r="75" spans="1:9" x14ac:dyDescent="0.2">
      <c r="A75" s="20">
        <v>44984</v>
      </c>
      <c r="C75" s="12" t="s">
        <v>45</v>
      </c>
      <c r="D75" s="10">
        <v>5</v>
      </c>
      <c r="E75" s="10">
        <v>6</v>
      </c>
      <c r="F75" s="10">
        <v>4</v>
      </c>
      <c r="G75" s="10">
        <v>2</v>
      </c>
      <c r="H75" s="25">
        <f>SUM(D75:G75)</f>
        <v>17</v>
      </c>
      <c r="I75" s="10"/>
    </row>
    <row r="76" spans="1:9" x14ac:dyDescent="0.2">
      <c r="A76" s="10" t="s">
        <v>62</v>
      </c>
      <c r="C76" s="18" t="s">
        <v>78</v>
      </c>
      <c r="D76" s="10">
        <v>2</v>
      </c>
      <c r="E76" s="10">
        <v>1</v>
      </c>
      <c r="F76" s="10">
        <v>1</v>
      </c>
      <c r="G76" s="10">
        <v>1</v>
      </c>
      <c r="H76" s="25">
        <f>SUM(D76:G76)</f>
        <v>5</v>
      </c>
      <c r="I76" s="10"/>
    </row>
    <row r="77" spans="1:9" x14ac:dyDescent="0.2">
      <c r="B77" s="21" t="s">
        <v>51</v>
      </c>
      <c r="C77" s="12" t="s">
        <v>45</v>
      </c>
      <c r="D77" s="34">
        <v>7</v>
      </c>
      <c r="E77" s="34">
        <v>5.19</v>
      </c>
      <c r="F77" s="34">
        <v>6.2</v>
      </c>
      <c r="G77" s="34">
        <v>5.49</v>
      </c>
      <c r="H77" s="44">
        <v>24.28</v>
      </c>
      <c r="I77" s="34"/>
    </row>
    <row r="78" spans="1:9" x14ac:dyDescent="0.2">
      <c r="B78" s="23"/>
      <c r="C78" s="18" t="s">
        <v>78</v>
      </c>
      <c r="D78" s="35">
        <v>3.15</v>
      </c>
      <c r="E78" s="35">
        <v>3.58</v>
      </c>
      <c r="F78" s="35">
        <v>3.37</v>
      </c>
      <c r="G78" s="35">
        <v>4.04</v>
      </c>
      <c r="H78" s="45">
        <v>14.54</v>
      </c>
      <c r="I78" s="35"/>
    </row>
    <row r="79" spans="1:9" x14ac:dyDescent="0.2">
      <c r="H79" s="12"/>
    </row>
    <row r="80" spans="1:9" x14ac:dyDescent="0.2">
      <c r="A80" s="20">
        <v>44985</v>
      </c>
      <c r="C80" s="12" t="s">
        <v>45</v>
      </c>
      <c r="D80" s="10">
        <v>9</v>
      </c>
      <c r="E80" s="10">
        <v>10</v>
      </c>
      <c r="F80" s="10">
        <v>1</v>
      </c>
      <c r="G80" s="10">
        <v>1</v>
      </c>
      <c r="H80" s="25">
        <f>SUM(D80:G80)</f>
        <v>21</v>
      </c>
      <c r="I80" s="10"/>
    </row>
    <row r="81" spans="1:11" x14ac:dyDescent="0.2">
      <c r="A81" s="10" t="s">
        <v>62</v>
      </c>
      <c r="C81" s="12" t="s">
        <v>97</v>
      </c>
      <c r="D81" s="10">
        <v>0</v>
      </c>
      <c r="E81" s="10">
        <v>0</v>
      </c>
      <c r="F81" s="10">
        <v>0</v>
      </c>
      <c r="G81" s="10">
        <v>0</v>
      </c>
      <c r="H81" s="25">
        <f>SUM(D81:G81)</f>
        <v>0</v>
      </c>
      <c r="I81" s="10"/>
    </row>
    <row r="82" spans="1:11" x14ac:dyDescent="0.2">
      <c r="B82" s="21" t="s">
        <v>51</v>
      </c>
      <c r="C82" s="22" t="s">
        <v>45</v>
      </c>
      <c r="D82" s="13">
        <v>8.06</v>
      </c>
      <c r="E82" s="13">
        <v>5.15</v>
      </c>
      <c r="F82" s="13">
        <v>4.0199999999999996</v>
      </c>
      <c r="G82" s="13">
        <v>4.33</v>
      </c>
      <c r="H82" s="44">
        <v>21.56</v>
      </c>
      <c r="I82" s="13"/>
    </row>
    <row r="83" spans="1:11" x14ac:dyDescent="0.2">
      <c r="B83" s="23"/>
      <c r="C83" s="18" t="s">
        <v>97</v>
      </c>
      <c r="D83" s="15">
        <v>1.1299999999999999</v>
      </c>
      <c r="E83" s="15">
        <v>3.1</v>
      </c>
      <c r="F83" s="15">
        <v>2.09</v>
      </c>
      <c r="G83" s="15">
        <v>1.45</v>
      </c>
      <c r="H83" s="46">
        <v>8.17</v>
      </c>
      <c r="I83" s="15"/>
    </row>
    <row r="84" spans="1:11" x14ac:dyDescent="0.2">
      <c r="H84" s="12"/>
      <c r="J84" s="10"/>
      <c r="K84" s="10"/>
    </row>
    <row r="85" spans="1:11" x14ac:dyDescent="0.2">
      <c r="A85" s="20">
        <v>44987</v>
      </c>
      <c r="C85" s="12" t="s">
        <v>45</v>
      </c>
      <c r="D85" s="10">
        <v>3</v>
      </c>
      <c r="E85" s="10">
        <v>4</v>
      </c>
      <c r="F85" s="10">
        <v>4</v>
      </c>
      <c r="G85" s="10">
        <v>6</v>
      </c>
      <c r="H85" s="25">
        <f>SUM(D85:G85)+J85+K85</f>
        <v>17</v>
      </c>
      <c r="I85" s="10"/>
      <c r="J85" s="10"/>
      <c r="K85" s="10"/>
    </row>
    <row r="86" spans="1:11" x14ac:dyDescent="0.2">
      <c r="A86" s="10" t="s">
        <v>63</v>
      </c>
      <c r="C86" s="12" t="s">
        <v>99</v>
      </c>
      <c r="D86" s="10">
        <v>3</v>
      </c>
      <c r="E86" s="10">
        <v>1</v>
      </c>
      <c r="F86" s="10">
        <v>2</v>
      </c>
      <c r="G86" s="10">
        <v>1</v>
      </c>
      <c r="H86" s="25">
        <f>SUM(D86:G86)+J86+K86</f>
        <v>7</v>
      </c>
      <c r="I86" s="10"/>
      <c r="J86" s="10"/>
      <c r="K86" s="10"/>
    </row>
    <row r="87" spans="1:11" x14ac:dyDescent="0.2">
      <c r="B87" s="21" t="s">
        <v>51</v>
      </c>
      <c r="C87" s="22" t="s">
        <v>45</v>
      </c>
      <c r="D87" s="13"/>
      <c r="E87" s="13"/>
      <c r="F87" s="13"/>
      <c r="G87" s="13"/>
      <c r="H87" s="47"/>
      <c r="I87" s="13"/>
      <c r="J87" s="10"/>
      <c r="K87" s="10"/>
    </row>
    <row r="88" spans="1:11" x14ac:dyDescent="0.2">
      <c r="B88" s="23"/>
      <c r="C88" s="18" t="s">
        <v>99</v>
      </c>
      <c r="D88" s="15"/>
      <c r="E88" s="15"/>
      <c r="F88" s="15"/>
      <c r="G88" s="15"/>
      <c r="H88" s="46"/>
      <c r="I88" s="15"/>
      <c r="J88" s="10"/>
      <c r="K88" s="10"/>
    </row>
    <row r="89" spans="1:11" x14ac:dyDescent="0.2">
      <c r="H89" s="12"/>
    </row>
    <row r="90" spans="1:11" x14ac:dyDescent="0.2">
      <c r="A90" s="20">
        <v>44993</v>
      </c>
      <c r="C90" s="12" t="s">
        <v>45</v>
      </c>
      <c r="D90" s="10">
        <v>0</v>
      </c>
      <c r="E90" s="10">
        <v>3</v>
      </c>
      <c r="F90" s="10">
        <v>1</v>
      </c>
      <c r="G90" s="10">
        <v>2</v>
      </c>
      <c r="H90" s="25">
        <f>SUM(D90:G90)</f>
        <v>6</v>
      </c>
      <c r="I90" s="10"/>
    </row>
    <row r="91" spans="1:11" x14ac:dyDescent="0.2">
      <c r="A91" s="10" t="s">
        <v>63</v>
      </c>
      <c r="C91" s="12" t="s">
        <v>100</v>
      </c>
      <c r="D91" s="10">
        <v>8</v>
      </c>
      <c r="E91" s="10">
        <v>1</v>
      </c>
      <c r="F91" s="10">
        <v>3</v>
      </c>
      <c r="G91" s="10">
        <v>4</v>
      </c>
      <c r="H91" s="25">
        <f>SUM(D91:G91)</f>
        <v>16</v>
      </c>
      <c r="I91" s="10"/>
    </row>
    <row r="92" spans="1:11" x14ac:dyDescent="0.2">
      <c r="B92" s="21" t="s">
        <v>51</v>
      </c>
      <c r="C92" s="22" t="s">
        <v>45</v>
      </c>
      <c r="D92" s="13">
        <v>3.05</v>
      </c>
      <c r="E92" s="13">
        <v>5.49</v>
      </c>
      <c r="F92" s="13">
        <v>3.07</v>
      </c>
      <c r="G92" s="34">
        <v>4.53</v>
      </c>
      <c r="H92" s="47">
        <v>16.54</v>
      </c>
      <c r="I92" s="13"/>
    </row>
    <row r="93" spans="1:11" x14ac:dyDescent="0.2">
      <c r="B93" s="23"/>
      <c r="C93" s="18" t="s">
        <v>100</v>
      </c>
      <c r="D93" s="15">
        <v>7.56</v>
      </c>
      <c r="E93" s="15">
        <v>4.38</v>
      </c>
      <c r="F93" s="35">
        <v>7.02</v>
      </c>
      <c r="G93" s="35">
        <v>4.24</v>
      </c>
      <c r="H93" s="46">
        <v>24</v>
      </c>
      <c r="I93" s="35"/>
    </row>
    <row r="94" spans="1:11" x14ac:dyDescent="0.2">
      <c r="H94" s="12"/>
    </row>
    <row r="95" spans="1:11" x14ac:dyDescent="0.2">
      <c r="A95" s="20">
        <v>44998</v>
      </c>
      <c r="C95" s="12" t="s">
        <v>45</v>
      </c>
      <c r="D95" s="10">
        <v>4</v>
      </c>
      <c r="E95" s="10">
        <v>3</v>
      </c>
      <c r="F95" s="10">
        <v>8</v>
      </c>
      <c r="G95" s="10">
        <v>5</v>
      </c>
      <c r="H95" s="25">
        <f>SUM(D95:G95)</f>
        <v>20</v>
      </c>
      <c r="I95" s="10"/>
    </row>
    <row r="96" spans="1:11" x14ac:dyDescent="0.2">
      <c r="A96" s="10" t="s">
        <v>63</v>
      </c>
      <c r="C96" s="12" t="s">
        <v>101</v>
      </c>
      <c r="D96" s="10">
        <v>1</v>
      </c>
      <c r="E96" s="10">
        <v>0</v>
      </c>
      <c r="F96" s="10">
        <v>0</v>
      </c>
      <c r="G96" s="10">
        <v>1</v>
      </c>
      <c r="H96" s="25">
        <f>SUM(D96:G96)</f>
        <v>2</v>
      </c>
      <c r="I96" s="10"/>
    </row>
    <row r="97" spans="1:11" x14ac:dyDescent="0.2">
      <c r="B97" s="21" t="s">
        <v>51</v>
      </c>
      <c r="C97" s="22" t="s">
        <v>45</v>
      </c>
      <c r="D97" s="13"/>
      <c r="E97" s="13"/>
      <c r="F97" s="13"/>
      <c r="G97" s="13"/>
      <c r="H97" s="47"/>
      <c r="I97" s="13"/>
    </row>
    <row r="98" spans="1:11" x14ac:dyDescent="0.2">
      <c r="B98" s="23"/>
      <c r="C98" s="18"/>
      <c r="D98" s="15"/>
      <c r="E98" s="15"/>
      <c r="F98" s="15"/>
      <c r="G98" s="15"/>
      <c r="H98" s="46"/>
      <c r="I98" s="15"/>
    </row>
    <row r="99" spans="1:11" x14ac:dyDescent="0.2">
      <c r="H99" s="12"/>
      <c r="J99" s="10"/>
      <c r="K99" s="10"/>
    </row>
    <row r="100" spans="1:11" x14ac:dyDescent="0.2">
      <c r="A100" s="20">
        <v>45000</v>
      </c>
      <c r="C100" s="12" t="s">
        <v>45</v>
      </c>
      <c r="D100" s="10">
        <v>3</v>
      </c>
      <c r="E100" s="10">
        <v>2</v>
      </c>
      <c r="F100" s="10">
        <v>3</v>
      </c>
      <c r="G100" s="10">
        <v>3</v>
      </c>
      <c r="H100" s="25">
        <f>SUM(D100:G100)+J100+K100</f>
        <v>11</v>
      </c>
      <c r="I100" s="10"/>
      <c r="J100" s="10"/>
      <c r="K100" s="10"/>
    </row>
    <row r="101" spans="1:11" x14ac:dyDescent="0.2">
      <c r="A101" s="10" t="s">
        <v>62</v>
      </c>
      <c r="C101" s="12" t="s">
        <v>102</v>
      </c>
      <c r="D101" s="10">
        <v>1</v>
      </c>
      <c r="E101" s="10">
        <v>3</v>
      </c>
      <c r="F101" s="10">
        <v>3</v>
      </c>
      <c r="G101" s="10">
        <v>2</v>
      </c>
      <c r="H101" s="25">
        <f>SUM(D101:G101)+J101+K101</f>
        <v>9</v>
      </c>
      <c r="I101" s="10"/>
      <c r="J101" s="10"/>
      <c r="K101" s="10"/>
    </row>
    <row r="102" spans="1:11" x14ac:dyDescent="0.2">
      <c r="B102" s="21" t="s">
        <v>51</v>
      </c>
      <c r="C102" s="22" t="s">
        <v>45</v>
      </c>
      <c r="D102" s="34">
        <v>4.3899999999999997</v>
      </c>
      <c r="E102" s="34">
        <v>5</v>
      </c>
      <c r="F102" s="34">
        <v>7.18</v>
      </c>
      <c r="G102" s="34">
        <v>7.47</v>
      </c>
      <c r="H102" s="44">
        <v>24.44</v>
      </c>
      <c r="I102" s="13"/>
      <c r="J102" s="10"/>
      <c r="K102" s="10"/>
    </row>
    <row r="103" spans="1:11" x14ac:dyDescent="0.2">
      <c r="B103" s="23"/>
      <c r="C103" s="18" t="s">
        <v>102</v>
      </c>
      <c r="D103" s="35">
        <v>4.58</v>
      </c>
      <c r="E103" s="35">
        <v>3.31</v>
      </c>
      <c r="F103" s="35">
        <v>3.43</v>
      </c>
      <c r="G103" s="35">
        <v>3.31</v>
      </c>
      <c r="H103" s="45">
        <v>15.43</v>
      </c>
      <c r="I103" s="15"/>
      <c r="J103" s="10"/>
      <c r="K103" s="10"/>
    </row>
    <row r="104" spans="1:11" x14ac:dyDescent="0.2">
      <c r="H104" s="12"/>
      <c r="J104" s="10"/>
    </row>
    <row r="105" spans="1:11" x14ac:dyDescent="0.2">
      <c r="A105" s="20">
        <v>45006</v>
      </c>
      <c r="C105" s="12" t="s">
        <v>45</v>
      </c>
      <c r="D105" s="10">
        <v>6</v>
      </c>
      <c r="E105" s="10">
        <v>6</v>
      </c>
      <c r="F105" s="10">
        <v>4</v>
      </c>
      <c r="G105" s="10">
        <v>3</v>
      </c>
      <c r="H105" s="25">
        <f>SUM(D105:G105)</f>
        <v>19</v>
      </c>
      <c r="I105" s="10"/>
      <c r="J105" s="10"/>
    </row>
    <row r="106" spans="1:11" x14ac:dyDescent="0.2">
      <c r="A106" s="10" t="s">
        <v>63</v>
      </c>
      <c r="C106" s="18" t="s">
        <v>103</v>
      </c>
      <c r="D106" s="10">
        <v>1</v>
      </c>
      <c r="E106" s="10">
        <v>0</v>
      </c>
      <c r="F106" s="10">
        <v>2</v>
      </c>
      <c r="G106" s="10">
        <v>2</v>
      </c>
      <c r="H106" s="25">
        <f>SUM(D106:G106)+J106</f>
        <v>5</v>
      </c>
      <c r="I106" s="10"/>
      <c r="J106" s="10"/>
    </row>
    <row r="107" spans="1:11" x14ac:dyDescent="0.2">
      <c r="B107" s="21" t="s">
        <v>51</v>
      </c>
      <c r="C107" s="12" t="s">
        <v>45</v>
      </c>
      <c r="D107" s="34">
        <v>6.36</v>
      </c>
      <c r="E107" s="34">
        <v>8.14</v>
      </c>
      <c r="F107" s="34">
        <v>6.4</v>
      </c>
      <c r="G107" s="34">
        <v>4.42</v>
      </c>
      <c r="H107" s="44">
        <v>26.12</v>
      </c>
      <c r="I107" s="34"/>
      <c r="J107" s="10"/>
    </row>
    <row r="108" spans="1:11" x14ac:dyDescent="0.2">
      <c r="B108" s="23"/>
      <c r="C108" s="18" t="s">
        <v>103</v>
      </c>
      <c r="D108" s="35">
        <v>4.59</v>
      </c>
      <c r="E108" s="35">
        <v>2.5299999999999998</v>
      </c>
      <c r="F108" s="35">
        <v>3.31</v>
      </c>
      <c r="G108" s="35">
        <v>2.23</v>
      </c>
      <c r="H108" s="45">
        <v>13.46</v>
      </c>
      <c r="I108" s="35"/>
      <c r="J108" s="30"/>
    </row>
    <row r="109" spans="1:11" x14ac:dyDescent="0.2">
      <c r="H109" s="12"/>
    </row>
    <row r="110" spans="1:11" x14ac:dyDescent="0.2">
      <c r="A110" s="20">
        <v>45008</v>
      </c>
      <c r="C110" s="12" t="s">
        <v>45</v>
      </c>
      <c r="D110" s="10">
        <v>3</v>
      </c>
      <c r="E110" s="10">
        <v>4</v>
      </c>
      <c r="F110" s="10">
        <v>8</v>
      </c>
      <c r="G110" s="10">
        <v>3</v>
      </c>
      <c r="H110" s="25">
        <f>SUM(D110:G110)</f>
        <v>18</v>
      </c>
      <c r="I110" s="10"/>
    </row>
    <row r="111" spans="1:11" x14ac:dyDescent="0.2">
      <c r="A111" s="10" t="s">
        <v>62</v>
      </c>
      <c r="C111" s="18" t="s">
        <v>104</v>
      </c>
      <c r="D111" s="10">
        <v>0</v>
      </c>
      <c r="E111" s="10">
        <v>1</v>
      </c>
      <c r="F111" s="10">
        <v>1</v>
      </c>
      <c r="G111" s="10">
        <v>0</v>
      </c>
      <c r="H111" s="25">
        <f>SUM(D111:G111)</f>
        <v>2</v>
      </c>
      <c r="I111" s="10"/>
    </row>
    <row r="112" spans="1:11" x14ac:dyDescent="0.2">
      <c r="B112" s="21" t="s">
        <v>51</v>
      </c>
      <c r="C112" s="12" t="s">
        <v>45</v>
      </c>
      <c r="D112" s="34">
        <v>8.02</v>
      </c>
      <c r="E112" s="34">
        <v>8.19</v>
      </c>
      <c r="F112" s="34">
        <v>8.33</v>
      </c>
      <c r="G112" s="34">
        <v>6.01</v>
      </c>
      <c r="H112" s="44">
        <v>30.55</v>
      </c>
      <c r="I112" s="34"/>
    </row>
    <row r="113" spans="1:11" x14ac:dyDescent="0.2">
      <c r="B113" s="23"/>
      <c r="C113" s="18" t="s">
        <v>104</v>
      </c>
      <c r="D113" s="35">
        <v>2.46</v>
      </c>
      <c r="E113" s="35">
        <v>2.0699999999999998</v>
      </c>
      <c r="F113" s="35">
        <v>2.11</v>
      </c>
      <c r="G113" s="35">
        <v>1</v>
      </c>
      <c r="H113" s="45">
        <v>8.0399999999999991</v>
      </c>
      <c r="I113" s="35"/>
    </row>
    <row r="114" spans="1:11" x14ac:dyDescent="0.2">
      <c r="H114" s="12"/>
      <c r="J114" s="25"/>
    </row>
    <row r="115" spans="1:11" x14ac:dyDescent="0.2">
      <c r="A115" s="20"/>
      <c r="C115" s="12" t="s">
        <v>45</v>
      </c>
      <c r="D115" s="10">
        <v>1</v>
      </c>
      <c r="E115" s="10">
        <v>4</v>
      </c>
      <c r="F115" s="10">
        <v>1</v>
      </c>
      <c r="G115" s="10">
        <v>2</v>
      </c>
      <c r="H115" s="25">
        <f>SUM(D115:G115)</f>
        <v>8</v>
      </c>
      <c r="I115" s="10"/>
      <c r="J115" s="10"/>
      <c r="K115" s="10"/>
    </row>
    <row r="116" spans="1:11" x14ac:dyDescent="0.2">
      <c r="A116" s="20">
        <v>45012</v>
      </c>
      <c r="C116" s="12" t="s">
        <v>105</v>
      </c>
      <c r="D116" s="10">
        <v>1</v>
      </c>
      <c r="E116" s="10">
        <v>1</v>
      </c>
      <c r="F116" s="10">
        <v>2</v>
      </c>
      <c r="G116" s="10">
        <v>2</v>
      </c>
      <c r="H116" s="25">
        <f>SUM(D116:G116)</f>
        <v>6</v>
      </c>
      <c r="I116" s="10"/>
    </row>
    <row r="117" spans="1:11" x14ac:dyDescent="0.2">
      <c r="A117" s="10" t="s">
        <v>63</v>
      </c>
      <c r="B117" s="21" t="s">
        <v>51</v>
      </c>
      <c r="C117" s="22" t="s">
        <v>45</v>
      </c>
      <c r="D117" s="34">
        <v>5.38</v>
      </c>
      <c r="E117" s="34">
        <v>4</v>
      </c>
      <c r="F117" s="34">
        <v>2.02</v>
      </c>
      <c r="G117" s="34">
        <v>3.31</v>
      </c>
      <c r="H117" s="44">
        <v>15.11</v>
      </c>
      <c r="I117" s="34"/>
    </row>
    <row r="118" spans="1:11" x14ac:dyDescent="0.2">
      <c r="B118" s="23"/>
      <c r="C118" s="18" t="s">
        <v>105</v>
      </c>
      <c r="D118" s="35">
        <v>5.28</v>
      </c>
      <c r="E118" s="35">
        <v>7.12</v>
      </c>
      <c r="F118" s="35">
        <v>7.13</v>
      </c>
      <c r="G118" s="35">
        <v>6.48</v>
      </c>
      <c r="H118" s="45">
        <v>26.41</v>
      </c>
      <c r="I118" s="35"/>
    </row>
    <row r="119" spans="1:11" x14ac:dyDescent="0.2">
      <c r="H119" s="12"/>
    </row>
    <row r="120" spans="1:11" x14ac:dyDescent="0.2">
      <c r="A120" s="20">
        <v>45013</v>
      </c>
      <c r="C120" s="12" t="s">
        <v>45</v>
      </c>
      <c r="D120" s="10">
        <v>7</v>
      </c>
      <c r="E120" s="10">
        <v>5</v>
      </c>
      <c r="F120" s="10">
        <v>3</v>
      </c>
      <c r="G120" s="10">
        <v>3</v>
      </c>
      <c r="H120" s="25">
        <f>SUM(D120:G120)</f>
        <v>18</v>
      </c>
      <c r="I120" s="10"/>
    </row>
    <row r="121" spans="1:11" x14ac:dyDescent="0.2">
      <c r="A121" s="10" t="s">
        <v>62</v>
      </c>
      <c r="C121" s="12" t="s">
        <v>109</v>
      </c>
      <c r="D121" s="10">
        <v>2</v>
      </c>
      <c r="E121" s="10">
        <v>0</v>
      </c>
      <c r="F121" s="10">
        <v>0</v>
      </c>
      <c r="G121" s="10">
        <v>0</v>
      </c>
      <c r="H121" s="25">
        <f>SUM(D121:G121)</f>
        <v>2</v>
      </c>
      <c r="I121" s="10"/>
    </row>
    <row r="122" spans="1:11" x14ac:dyDescent="0.2">
      <c r="B122" s="21" t="s">
        <v>51</v>
      </c>
      <c r="C122" s="22" t="s">
        <v>45</v>
      </c>
      <c r="D122" s="34"/>
      <c r="E122" s="34"/>
      <c r="F122" s="34"/>
      <c r="G122" s="34"/>
      <c r="H122" s="44"/>
      <c r="I122" s="34"/>
    </row>
    <row r="123" spans="1:11" x14ac:dyDescent="0.2">
      <c r="B123" s="23"/>
      <c r="C123" s="18" t="s">
        <v>109</v>
      </c>
      <c r="D123" s="35"/>
      <c r="E123" s="35"/>
      <c r="F123" s="35"/>
      <c r="G123" s="35"/>
      <c r="H123" s="45"/>
      <c r="I123" s="35"/>
    </row>
    <row r="124" spans="1:11" x14ac:dyDescent="0.2">
      <c r="H124" s="12"/>
    </row>
    <row r="125" spans="1:11" x14ac:dyDescent="0.2">
      <c r="A125" s="20">
        <v>45014</v>
      </c>
      <c r="C125" s="12" t="s">
        <v>45</v>
      </c>
      <c r="D125" s="10">
        <v>1</v>
      </c>
      <c r="E125" s="10">
        <v>1</v>
      </c>
      <c r="F125" s="10">
        <v>0</v>
      </c>
      <c r="G125" s="10">
        <v>1</v>
      </c>
      <c r="H125" s="25">
        <f>SUM(D125:G125)</f>
        <v>3</v>
      </c>
      <c r="I125" s="10"/>
    </row>
    <row r="126" spans="1:11" x14ac:dyDescent="0.2">
      <c r="A126" s="10" t="s">
        <v>63</v>
      </c>
      <c r="C126" s="12" t="s">
        <v>110</v>
      </c>
      <c r="D126" s="10">
        <v>4</v>
      </c>
      <c r="E126" s="10">
        <v>3</v>
      </c>
      <c r="F126" s="10">
        <v>5</v>
      </c>
      <c r="G126" s="10">
        <v>4</v>
      </c>
      <c r="H126" s="25">
        <f>SUM(D126:G126)</f>
        <v>16</v>
      </c>
      <c r="I126" s="10"/>
    </row>
    <row r="127" spans="1:11" x14ac:dyDescent="0.2">
      <c r="B127" s="21" t="s">
        <v>51</v>
      </c>
      <c r="C127" s="22" t="s">
        <v>45</v>
      </c>
      <c r="D127" s="34"/>
      <c r="E127" s="34"/>
      <c r="F127" s="34"/>
      <c r="G127" s="34"/>
      <c r="H127" s="44"/>
      <c r="I127" s="34"/>
    </row>
    <row r="128" spans="1:11" x14ac:dyDescent="0.2">
      <c r="B128" s="23"/>
      <c r="C128" s="18" t="s">
        <v>110</v>
      </c>
      <c r="D128" s="35"/>
      <c r="E128" s="35"/>
      <c r="F128" s="35"/>
      <c r="G128" s="35"/>
      <c r="H128" s="45"/>
      <c r="I128" s="35"/>
    </row>
    <row r="129" spans="1:9" x14ac:dyDescent="0.2">
      <c r="H129" s="12"/>
    </row>
    <row r="130" spans="1:9" x14ac:dyDescent="0.2">
      <c r="A130" s="20">
        <v>45019</v>
      </c>
      <c r="C130" s="12" t="s">
        <v>45</v>
      </c>
      <c r="D130" s="10">
        <v>2</v>
      </c>
      <c r="E130" s="10">
        <v>2</v>
      </c>
      <c r="F130" s="10">
        <v>2</v>
      </c>
      <c r="G130" s="10">
        <v>4</v>
      </c>
      <c r="H130" s="25">
        <f>SUM(D130:G130)</f>
        <v>10</v>
      </c>
      <c r="I130" s="10"/>
    </row>
    <row r="131" spans="1:9" x14ac:dyDescent="0.2">
      <c r="A131" s="10" t="s">
        <v>63</v>
      </c>
      <c r="C131" s="12" t="s">
        <v>111</v>
      </c>
      <c r="D131" s="10">
        <v>6</v>
      </c>
      <c r="E131" s="10">
        <v>5</v>
      </c>
      <c r="F131" s="10">
        <v>4</v>
      </c>
      <c r="G131" s="10">
        <v>4</v>
      </c>
      <c r="H131" s="25">
        <f>SUM(D131:G131)</f>
        <v>19</v>
      </c>
      <c r="I131" s="10"/>
    </row>
    <row r="132" spans="1:9" x14ac:dyDescent="0.2">
      <c r="B132" s="21" t="s">
        <v>51</v>
      </c>
      <c r="C132" s="22" t="s">
        <v>45</v>
      </c>
      <c r="D132" s="34"/>
      <c r="E132" s="34"/>
      <c r="F132" s="34"/>
      <c r="G132" s="34"/>
      <c r="H132" s="44"/>
      <c r="I132" s="34"/>
    </row>
    <row r="133" spans="1:9" x14ac:dyDescent="0.2">
      <c r="B133" s="23"/>
      <c r="C133" s="18" t="s">
        <v>111</v>
      </c>
      <c r="D133" s="35"/>
      <c r="E133" s="35"/>
      <c r="F133" s="35"/>
      <c r="G133" s="35"/>
      <c r="H133" s="45"/>
      <c r="I133" s="35"/>
    </row>
    <row r="134" spans="1:9" x14ac:dyDescent="0.2">
      <c r="H134" s="12"/>
    </row>
    <row r="135" spans="1:9" x14ac:dyDescent="0.2">
      <c r="A135" s="20">
        <v>45021</v>
      </c>
      <c r="C135" s="12" t="s">
        <v>45</v>
      </c>
      <c r="D135" s="10">
        <v>1</v>
      </c>
      <c r="E135" s="10">
        <v>1</v>
      </c>
      <c r="F135" s="10">
        <v>1</v>
      </c>
      <c r="G135" s="10">
        <v>2</v>
      </c>
      <c r="H135" s="25">
        <f>SUM(D135:G135)</f>
        <v>5</v>
      </c>
      <c r="I135" s="10"/>
    </row>
    <row r="136" spans="1:9" x14ac:dyDescent="0.2">
      <c r="A136" s="10" t="s">
        <v>63</v>
      </c>
      <c r="C136" s="12" t="s">
        <v>112</v>
      </c>
      <c r="D136" s="10">
        <v>5</v>
      </c>
      <c r="E136" s="10">
        <v>3</v>
      </c>
      <c r="F136" s="10">
        <v>4</v>
      </c>
      <c r="G136" s="10">
        <v>3</v>
      </c>
      <c r="H136" s="25">
        <f>SUM(D136:G136)</f>
        <v>15</v>
      </c>
      <c r="I136" s="10"/>
    </row>
    <row r="137" spans="1:9" x14ac:dyDescent="0.2">
      <c r="B137" s="21" t="s">
        <v>51</v>
      </c>
      <c r="C137" s="22" t="s">
        <v>45</v>
      </c>
      <c r="D137" s="13"/>
      <c r="E137" s="13"/>
      <c r="F137" s="13"/>
      <c r="G137" s="13"/>
      <c r="H137" s="47"/>
      <c r="I137" s="13"/>
    </row>
    <row r="138" spans="1:9" x14ac:dyDescent="0.2">
      <c r="B138" s="23"/>
      <c r="C138" s="18" t="s">
        <v>112</v>
      </c>
      <c r="D138" s="15"/>
      <c r="E138" s="15"/>
      <c r="F138" s="15"/>
      <c r="G138" s="15"/>
      <c r="H138" s="46"/>
      <c r="I138" s="15"/>
    </row>
    <row r="139" spans="1:9" x14ac:dyDescent="0.2">
      <c r="H139" s="12"/>
    </row>
    <row r="140" spans="1:9" x14ac:dyDescent="0.2">
      <c r="A140" s="20">
        <v>45028</v>
      </c>
      <c r="C140" s="12" t="s">
        <v>45</v>
      </c>
      <c r="D140" s="10">
        <v>2</v>
      </c>
      <c r="E140" s="10">
        <v>0</v>
      </c>
      <c r="F140" s="10">
        <v>2</v>
      </c>
      <c r="G140" s="10">
        <v>3</v>
      </c>
      <c r="H140" s="25">
        <f>SUM(D140:G140)</f>
        <v>7</v>
      </c>
      <c r="I140" s="10"/>
    </row>
    <row r="141" spans="1:9" x14ac:dyDescent="0.2">
      <c r="A141" s="10" t="s">
        <v>63</v>
      </c>
      <c r="C141" s="12" t="s">
        <v>114</v>
      </c>
      <c r="D141" s="10">
        <v>3</v>
      </c>
      <c r="E141" s="10">
        <v>4</v>
      </c>
      <c r="F141" s="10">
        <v>4</v>
      </c>
      <c r="G141" s="10">
        <v>2</v>
      </c>
      <c r="H141" s="25">
        <f>SUM(D141:G141)</f>
        <v>13</v>
      </c>
      <c r="I141" s="10"/>
    </row>
    <row r="142" spans="1:9" x14ac:dyDescent="0.2">
      <c r="B142" s="21" t="s">
        <v>51</v>
      </c>
      <c r="C142" s="22" t="s">
        <v>45</v>
      </c>
      <c r="D142" s="34"/>
      <c r="E142" s="34"/>
      <c r="F142" s="34"/>
      <c r="G142" s="34"/>
      <c r="H142" s="44"/>
      <c r="I142" s="34"/>
    </row>
    <row r="143" spans="1:9" x14ac:dyDescent="0.2">
      <c r="B143" s="23"/>
      <c r="C143" s="18" t="s">
        <v>114</v>
      </c>
      <c r="D143" s="35"/>
      <c r="E143" s="35"/>
      <c r="F143" s="35"/>
      <c r="G143" s="35"/>
      <c r="H143" s="45"/>
      <c r="I143" s="35"/>
    </row>
    <row r="144" spans="1:9" x14ac:dyDescent="0.2">
      <c r="F144" s="31"/>
      <c r="H144" s="12"/>
      <c r="I144" s="31"/>
    </row>
    <row r="145" spans="1:10" x14ac:dyDescent="0.2">
      <c r="A145" s="20"/>
      <c r="C145" s="12" t="s">
        <v>45</v>
      </c>
      <c r="D145" s="10">
        <v>5</v>
      </c>
      <c r="E145" s="10">
        <v>4</v>
      </c>
      <c r="F145" s="10">
        <v>7</v>
      </c>
      <c r="G145" s="10">
        <v>1</v>
      </c>
      <c r="H145" s="25">
        <f>SUM(D145:G145)</f>
        <v>17</v>
      </c>
      <c r="I145" s="10"/>
    </row>
    <row r="146" spans="1:10" x14ac:dyDescent="0.2">
      <c r="A146" s="20">
        <v>45029</v>
      </c>
      <c r="C146" s="12" t="s">
        <v>103</v>
      </c>
      <c r="D146" s="10">
        <v>2</v>
      </c>
      <c r="E146" s="10">
        <v>3</v>
      </c>
      <c r="F146" s="10">
        <v>0</v>
      </c>
      <c r="G146" s="10">
        <v>2</v>
      </c>
      <c r="H146" s="25">
        <f>SUM(D146:G146)</f>
        <v>7</v>
      </c>
      <c r="I146" s="10"/>
    </row>
    <row r="147" spans="1:10" x14ac:dyDescent="0.2">
      <c r="A147" s="10" t="s">
        <v>62</v>
      </c>
      <c r="B147" s="21" t="s">
        <v>51</v>
      </c>
      <c r="C147" s="22" t="s">
        <v>45</v>
      </c>
      <c r="D147" s="13"/>
      <c r="E147" s="13"/>
      <c r="F147" s="13"/>
      <c r="G147" s="13"/>
      <c r="H147" s="47"/>
      <c r="I147" s="13"/>
    </row>
    <row r="148" spans="1:10" x14ac:dyDescent="0.2">
      <c r="B148" s="23"/>
      <c r="C148" s="18" t="s">
        <v>103</v>
      </c>
      <c r="D148" s="15"/>
      <c r="E148" s="15"/>
      <c r="F148" s="15"/>
      <c r="G148" s="15"/>
      <c r="H148" s="46"/>
      <c r="I148" s="15"/>
    </row>
    <row r="149" spans="1:10" x14ac:dyDescent="0.2">
      <c r="H149" s="12"/>
    </row>
    <row r="150" spans="1:10" x14ac:dyDescent="0.2">
      <c r="A150" s="20">
        <v>45033</v>
      </c>
      <c r="C150" s="12" t="s">
        <v>45</v>
      </c>
      <c r="D150" s="10">
        <v>5</v>
      </c>
      <c r="E150" s="10">
        <v>7</v>
      </c>
      <c r="F150" s="10">
        <v>1</v>
      </c>
      <c r="G150" s="10">
        <v>7</v>
      </c>
      <c r="H150" s="25">
        <f>SUM(D150:G150)</f>
        <v>20</v>
      </c>
      <c r="I150" s="10"/>
    </row>
    <row r="151" spans="1:10" x14ac:dyDescent="0.2">
      <c r="A151" s="10" t="s">
        <v>63</v>
      </c>
      <c r="C151" s="12" t="s">
        <v>104</v>
      </c>
      <c r="D151" s="10">
        <v>0</v>
      </c>
      <c r="E151" s="10">
        <v>0</v>
      </c>
      <c r="F151" s="10">
        <v>1</v>
      </c>
      <c r="G151" s="10">
        <v>0</v>
      </c>
      <c r="H151" s="25">
        <f>SUM(D151:G151)</f>
        <v>1</v>
      </c>
      <c r="I151" s="10"/>
    </row>
    <row r="152" spans="1:10" x14ac:dyDescent="0.2">
      <c r="B152" s="21" t="s">
        <v>51</v>
      </c>
      <c r="C152" s="22" t="s">
        <v>45</v>
      </c>
      <c r="D152" s="34"/>
      <c r="E152" s="34"/>
      <c r="F152" s="34"/>
      <c r="G152" s="34"/>
      <c r="H152" s="44"/>
      <c r="I152" s="34"/>
    </row>
    <row r="153" spans="1:10" x14ac:dyDescent="0.2">
      <c r="B153" s="23"/>
      <c r="C153" s="18" t="s">
        <v>104</v>
      </c>
      <c r="D153" s="35"/>
      <c r="E153" s="35"/>
      <c r="F153" s="35"/>
      <c r="G153" s="35"/>
      <c r="H153" s="45"/>
      <c r="I153" s="35"/>
    </row>
    <row r="154" spans="1:10" x14ac:dyDescent="0.2">
      <c r="H154" s="12"/>
    </row>
    <row r="155" spans="1:10" x14ac:dyDescent="0.2">
      <c r="A155" s="20">
        <v>45036</v>
      </c>
      <c r="C155" s="12" t="s">
        <v>45</v>
      </c>
      <c r="D155" s="10">
        <v>1</v>
      </c>
      <c r="E155" s="10">
        <v>3</v>
      </c>
      <c r="F155" s="10">
        <v>1</v>
      </c>
      <c r="G155" s="10">
        <v>2</v>
      </c>
      <c r="H155" s="25">
        <f>SUM(D155:G155)</f>
        <v>7</v>
      </c>
      <c r="I155" s="10"/>
    </row>
    <row r="156" spans="1:10" x14ac:dyDescent="0.2">
      <c r="A156" s="10" t="s">
        <v>62</v>
      </c>
      <c r="C156" s="12" t="s">
        <v>115</v>
      </c>
      <c r="D156" s="10">
        <v>3</v>
      </c>
      <c r="E156" s="10">
        <v>2</v>
      </c>
      <c r="F156" s="10">
        <v>0</v>
      </c>
      <c r="G156" s="10">
        <v>1</v>
      </c>
      <c r="H156" s="25">
        <f>SUM(D156:G156)</f>
        <v>6</v>
      </c>
      <c r="I156" s="10"/>
    </row>
    <row r="157" spans="1:10" x14ac:dyDescent="0.2">
      <c r="B157" s="21" t="s">
        <v>51</v>
      </c>
      <c r="C157" s="22" t="s">
        <v>45</v>
      </c>
      <c r="D157" s="34"/>
      <c r="E157" s="34"/>
      <c r="F157" s="34"/>
      <c r="G157" s="34"/>
      <c r="H157" s="44"/>
      <c r="I157" s="34"/>
    </row>
    <row r="158" spans="1:10" x14ac:dyDescent="0.2">
      <c r="B158" s="23"/>
      <c r="C158" s="18" t="s">
        <v>115</v>
      </c>
      <c r="D158" s="35"/>
      <c r="E158" s="35"/>
      <c r="F158" s="35"/>
      <c r="G158" s="35"/>
      <c r="H158" s="45"/>
      <c r="I158" s="35"/>
    </row>
    <row r="159" spans="1:10" x14ac:dyDescent="0.2">
      <c r="H159" s="12"/>
      <c r="J159" s="10"/>
    </row>
    <row r="160" spans="1:10" x14ac:dyDescent="0.2">
      <c r="A160" s="20">
        <v>45040</v>
      </c>
      <c r="C160" s="12" t="s">
        <v>45</v>
      </c>
      <c r="D160" s="10">
        <v>1</v>
      </c>
      <c r="E160" s="10">
        <v>0</v>
      </c>
      <c r="F160" s="10">
        <v>0</v>
      </c>
      <c r="G160" s="10">
        <v>0</v>
      </c>
      <c r="H160" s="25">
        <f>SUM(D160:G160)</f>
        <v>1</v>
      </c>
      <c r="I160" s="10"/>
      <c r="J160" s="10"/>
    </row>
    <row r="161" spans="1:10" x14ac:dyDescent="0.2">
      <c r="A161" s="10" t="s">
        <v>62</v>
      </c>
      <c r="C161" s="12" t="s">
        <v>110</v>
      </c>
      <c r="D161" s="10">
        <v>8</v>
      </c>
      <c r="E161" s="10">
        <v>4</v>
      </c>
      <c r="F161" s="10">
        <v>2</v>
      </c>
      <c r="G161" s="10">
        <v>1</v>
      </c>
      <c r="H161" s="25">
        <f>SUM(D161:G161)+J161</f>
        <v>15</v>
      </c>
      <c r="I161" s="10"/>
      <c r="J161" s="10"/>
    </row>
    <row r="162" spans="1:10" x14ac:dyDescent="0.2">
      <c r="B162" s="21" t="s">
        <v>51</v>
      </c>
      <c r="C162" s="22" t="s">
        <v>45</v>
      </c>
      <c r="D162" s="13"/>
      <c r="E162" s="13"/>
      <c r="F162" s="13"/>
      <c r="G162" s="13"/>
      <c r="H162" s="47"/>
      <c r="I162" s="13"/>
    </row>
    <row r="163" spans="1:10" x14ac:dyDescent="0.2">
      <c r="B163" s="23"/>
      <c r="C163" s="18" t="s">
        <v>110</v>
      </c>
      <c r="D163" s="15"/>
      <c r="E163" s="15"/>
      <c r="F163" s="15"/>
      <c r="G163" s="15"/>
      <c r="H163" s="46"/>
      <c r="I163" s="15"/>
    </row>
    <row r="165" spans="1:10" x14ac:dyDescent="0.2">
      <c r="A165" s="20">
        <v>45041</v>
      </c>
      <c r="C165" s="12" t="s">
        <v>45</v>
      </c>
      <c r="D165" s="10">
        <v>2</v>
      </c>
      <c r="E165" s="10">
        <v>7</v>
      </c>
      <c r="F165" s="10">
        <v>7</v>
      </c>
      <c r="G165" s="10">
        <v>4</v>
      </c>
      <c r="H165" s="25">
        <f>SUM(D165:G165)</f>
        <v>20</v>
      </c>
      <c r="I165" s="10"/>
    </row>
    <row r="166" spans="1:10" x14ac:dyDescent="0.2">
      <c r="A166" s="10" t="s">
        <v>62</v>
      </c>
      <c r="C166" s="12" t="s">
        <v>116</v>
      </c>
      <c r="D166" s="10">
        <v>1</v>
      </c>
      <c r="E166" s="10">
        <v>2</v>
      </c>
      <c r="F166" s="10">
        <v>2</v>
      </c>
      <c r="G166" s="10">
        <v>1</v>
      </c>
      <c r="H166" s="25">
        <f>SUM(D166:G166)+J166</f>
        <v>6</v>
      </c>
      <c r="I166" s="10"/>
    </row>
    <row r="167" spans="1:10" x14ac:dyDescent="0.2">
      <c r="B167" s="21" t="s">
        <v>51</v>
      </c>
      <c r="C167" s="22" t="s">
        <v>45</v>
      </c>
      <c r="D167" s="13"/>
      <c r="E167" s="13"/>
      <c r="F167" s="13"/>
      <c r="G167" s="13"/>
      <c r="H167" s="47"/>
      <c r="I167" s="13"/>
    </row>
    <row r="168" spans="1:10" x14ac:dyDescent="0.2">
      <c r="B168" s="23"/>
      <c r="C168" s="18" t="s">
        <v>116</v>
      </c>
      <c r="D168" s="15"/>
      <c r="E168" s="15"/>
      <c r="F168" s="15"/>
      <c r="G168" s="15"/>
      <c r="H168" s="46"/>
      <c r="I168" s="15"/>
    </row>
    <row r="170" spans="1:10" x14ac:dyDescent="0.2">
      <c r="A170" s="20">
        <v>45043</v>
      </c>
      <c r="C170" s="12" t="s">
        <v>45</v>
      </c>
      <c r="D170" s="10">
        <v>5</v>
      </c>
      <c r="E170" s="10">
        <v>1</v>
      </c>
      <c r="F170" s="10">
        <v>1</v>
      </c>
      <c r="G170" s="10">
        <v>0</v>
      </c>
      <c r="H170" s="25">
        <f>SUM(D170:G170)</f>
        <v>7</v>
      </c>
      <c r="I170" s="10"/>
    </row>
    <row r="171" spans="1:10" x14ac:dyDescent="0.2">
      <c r="A171" s="10" t="s">
        <v>62</v>
      </c>
      <c r="C171" s="12" t="s">
        <v>114</v>
      </c>
      <c r="D171" s="10">
        <v>6</v>
      </c>
      <c r="E171" s="10">
        <v>4</v>
      </c>
      <c r="F171" s="10">
        <v>8</v>
      </c>
      <c r="G171" s="10">
        <v>2</v>
      </c>
      <c r="H171" s="25">
        <f>SUM(D171:G171)+J171</f>
        <v>20</v>
      </c>
      <c r="I171" s="10"/>
    </row>
    <row r="172" spans="1:10" x14ac:dyDescent="0.2">
      <c r="B172" s="21" t="s">
        <v>51</v>
      </c>
      <c r="C172" s="22" t="s">
        <v>45</v>
      </c>
      <c r="D172" s="13"/>
      <c r="E172" s="13"/>
      <c r="F172" s="13"/>
      <c r="G172" s="13"/>
      <c r="H172" s="47"/>
      <c r="I172" s="13"/>
    </row>
    <row r="173" spans="1:10" x14ac:dyDescent="0.2">
      <c r="B173" s="23"/>
      <c r="C173" s="18" t="s">
        <v>114</v>
      </c>
      <c r="D173" s="15"/>
      <c r="E173" s="15"/>
      <c r="F173" s="15"/>
      <c r="G173" s="15"/>
      <c r="H173" s="46"/>
      <c r="I173" s="15"/>
    </row>
  </sheetData>
  <sheetProtection algorithmName="SHA-512" hashValue="RS/l4t7DDiX1cba8MIy+HHDjnvqgl9HgvOR08FWGAoCEHx/nGH9a8Zxradx3FA4tzhl5dPNZsLVgjL8rS1uzsA==" saltValue="U8LX0w+ReWfUVi3CUO/4Zw==" spinCount="100000" sheet="1" objects="1" scenarios="1"/>
  <sortState xmlns:xlrd2="http://schemas.microsoft.com/office/spreadsheetml/2017/richdata2" ref="A3:O29">
    <sortCondition ref="B3:B29" customList="A,M,D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twetherb</dc:creator>
  <cp:lastModifiedBy>Tom Wetherby</cp:lastModifiedBy>
  <cp:lastPrinted>2018-05-22T18:34:00Z</cp:lastPrinted>
  <dcterms:created xsi:type="dcterms:W3CDTF">2013-03-19T12:42:01Z</dcterms:created>
  <dcterms:modified xsi:type="dcterms:W3CDTF">2026-07-23T19:58:10Z</dcterms:modified>
</cp:coreProperties>
</file>