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16"/>
  <workbookPr/>
  <mc:AlternateContent xmlns:mc="http://schemas.openxmlformats.org/markup-compatibility/2006">
    <mc:Choice Requires="x15">
      <x15ac:absPath xmlns:x15ac="http://schemas.microsoft.com/office/spreadsheetml/2010/11/ac" url="/Users/tomwetherby/Documents/Lacrosse/Stats and Rosters/"/>
    </mc:Choice>
  </mc:AlternateContent>
  <xr:revisionPtr revIDLastSave="0" documentId="8_{AF395364-339D-E74F-875A-E08D2B1AFAFA}" xr6:coauthVersionLast="47" xr6:coauthVersionMax="47" xr10:uidLastSave="{00000000-0000-0000-0000-000000000000}"/>
  <bookViews>
    <workbookView xWindow="1140" yWindow="1680" windowWidth="33300" windowHeight="16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M62" i="1" l="1"/>
  <c r="O62" i="1"/>
  <c r="V30" i="1"/>
  <c r="V13" i="1"/>
  <c r="V11" i="1"/>
  <c r="V9" i="1"/>
  <c r="V8" i="1"/>
  <c r="V7" i="1"/>
  <c r="V6" i="1"/>
  <c r="V5" i="1"/>
  <c r="G4" i="1"/>
  <c r="F4" i="1"/>
  <c r="Q39" i="1" l="1"/>
  <c r="P39" i="1"/>
  <c r="O39" i="1"/>
  <c r="N39" i="1"/>
  <c r="J39" i="1"/>
  <c r="G39" i="1"/>
  <c r="F39" i="1"/>
  <c r="E39" i="1"/>
  <c r="Q38" i="1"/>
  <c r="P38" i="1"/>
  <c r="O38" i="1"/>
  <c r="N38" i="1"/>
  <c r="J38" i="1"/>
  <c r="G38" i="1"/>
  <c r="F38" i="1"/>
  <c r="E38" i="1"/>
  <c r="Q34" i="1"/>
  <c r="P34" i="1"/>
  <c r="O34" i="1"/>
  <c r="N34" i="1"/>
  <c r="J34" i="1"/>
  <c r="G34" i="1"/>
  <c r="F34" i="1"/>
  <c r="E34" i="1"/>
  <c r="Q33" i="1"/>
  <c r="P33" i="1"/>
  <c r="O33" i="1"/>
  <c r="N33" i="1"/>
  <c r="J33" i="1"/>
  <c r="G33" i="1"/>
  <c r="F33" i="1"/>
  <c r="E33" i="1"/>
  <c r="Q32" i="1"/>
  <c r="P32" i="1"/>
  <c r="O32" i="1"/>
  <c r="N32" i="1"/>
  <c r="J32" i="1"/>
  <c r="G32" i="1"/>
  <c r="F32" i="1"/>
  <c r="E32" i="1"/>
  <c r="Q31" i="1"/>
  <c r="P31" i="1"/>
  <c r="O31" i="1"/>
  <c r="N31" i="1"/>
  <c r="J31" i="1"/>
  <c r="G31" i="1"/>
  <c r="F31" i="1"/>
  <c r="E31" i="1"/>
  <c r="Q30" i="1"/>
  <c r="P30" i="1"/>
  <c r="O30" i="1"/>
  <c r="N30" i="1"/>
  <c r="J30" i="1"/>
  <c r="G30" i="1"/>
  <c r="F30" i="1"/>
  <c r="E30" i="1"/>
  <c r="Q29" i="1"/>
  <c r="P29" i="1"/>
  <c r="O29" i="1"/>
  <c r="N29" i="1"/>
  <c r="J29" i="1"/>
  <c r="G29" i="1"/>
  <c r="F29" i="1"/>
  <c r="E29" i="1"/>
  <c r="Q28" i="1"/>
  <c r="P28" i="1"/>
  <c r="O28" i="1"/>
  <c r="N28" i="1"/>
  <c r="J28" i="1"/>
  <c r="G28" i="1"/>
  <c r="F28" i="1"/>
  <c r="E28" i="1"/>
  <c r="Q27" i="1"/>
  <c r="P27" i="1"/>
  <c r="O27" i="1"/>
  <c r="N27" i="1"/>
  <c r="J27" i="1"/>
  <c r="G27" i="1"/>
  <c r="F27" i="1"/>
  <c r="E27" i="1"/>
  <c r="Q26" i="1"/>
  <c r="P26" i="1"/>
  <c r="O26" i="1"/>
  <c r="N26" i="1"/>
  <c r="J26" i="1"/>
  <c r="G26" i="1"/>
  <c r="F26" i="1"/>
  <c r="E26" i="1"/>
  <c r="Q25" i="1"/>
  <c r="P25" i="1"/>
  <c r="O25" i="1"/>
  <c r="N25" i="1"/>
  <c r="K25" i="1"/>
  <c r="J25" i="1"/>
  <c r="G25" i="1"/>
  <c r="F25" i="1"/>
  <c r="E25" i="1"/>
  <c r="Q24" i="1"/>
  <c r="P24" i="1"/>
  <c r="O24" i="1"/>
  <c r="N24" i="1"/>
  <c r="L24" i="1"/>
  <c r="K24" i="1"/>
  <c r="J24" i="1"/>
  <c r="G24" i="1"/>
  <c r="F24" i="1"/>
  <c r="E24" i="1"/>
  <c r="Q23" i="1"/>
  <c r="P23" i="1"/>
  <c r="O23" i="1"/>
  <c r="N23" i="1"/>
  <c r="J23" i="1"/>
  <c r="G23" i="1"/>
  <c r="F23" i="1"/>
  <c r="E23" i="1"/>
  <c r="Q22" i="1"/>
  <c r="P22" i="1"/>
  <c r="O22" i="1"/>
  <c r="N22" i="1"/>
  <c r="J22" i="1"/>
  <c r="G22" i="1"/>
  <c r="F22" i="1"/>
  <c r="E22" i="1"/>
  <c r="Q21" i="1"/>
  <c r="P21" i="1"/>
  <c r="O21" i="1"/>
  <c r="N21" i="1"/>
  <c r="J21" i="1"/>
  <c r="G21" i="1"/>
  <c r="F21" i="1"/>
  <c r="E21" i="1"/>
  <c r="Q20" i="1"/>
  <c r="P20" i="1"/>
  <c r="O20" i="1"/>
  <c r="N20" i="1"/>
  <c r="J20" i="1"/>
  <c r="G20" i="1"/>
  <c r="F20" i="1"/>
  <c r="E20" i="1"/>
  <c r="Q19" i="1"/>
  <c r="P19" i="1"/>
  <c r="O19" i="1"/>
  <c r="N19" i="1"/>
  <c r="J19" i="1"/>
  <c r="G19" i="1"/>
  <c r="F19" i="1"/>
  <c r="E19" i="1"/>
  <c r="Q18" i="1"/>
  <c r="P18" i="1"/>
  <c r="O18" i="1"/>
  <c r="N18" i="1"/>
  <c r="J18" i="1"/>
  <c r="G18" i="1"/>
  <c r="F18" i="1"/>
  <c r="E18" i="1"/>
  <c r="Q17" i="1"/>
  <c r="P17" i="1"/>
  <c r="O17" i="1"/>
  <c r="N17" i="1"/>
  <c r="J17" i="1"/>
  <c r="G17" i="1"/>
  <c r="F17" i="1"/>
  <c r="E17" i="1"/>
  <c r="Q16" i="1"/>
  <c r="P16" i="1"/>
  <c r="O16" i="1"/>
  <c r="N16" i="1"/>
  <c r="L16" i="1"/>
  <c r="K16" i="1"/>
  <c r="J16" i="1"/>
  <c r="G16" i="1"/>
  <c r="F16" i="1"/>
  <c r="E16" i="1"/>
  <c r="Q15" i="1"/>
  <c r="P15" i="1"/>
  <c r="O15" i="1"/>
  <c r="N15" i="1"/>
  <c r="J15" i="1"/>
  <c r="G15" i="1"/>
  <c r="F15" i="1"/>
  <c r="E15" i="1"/>
  <c r="Q14" i="1"/>
  <c r="P14" i="1"/>
  <c r="O14" i="1"/>
  <c r="N14" i="1"/>
  <c r="J14" i="1"/>
  <c r="G14" i="1"/>
  <c r="F14" i="1"/>
  <c r="E14" i="1"/>
  <c r="Q13" i="1"/>
  <c r="P13" i="1"/>
  <c r="O13" i="1"/>
  <c r="N13" i="1"/>
  <c r="J13" i="1"/>
  <c r="G13" i="1"/>
  <c r="F13" i="1"/>
  <c r="E13" i="1"/>
  <c r="Q12" i="1"/>
  <c r="P12" i="1"/>
  <c r="O12" i="1"/>
  <c r="N12" i="1"/>
  <c r="J12" i="1"/>
  <c r="G12" i="1"/>
  <c r="F12" i="1"/>
  <c r="E12" i="1"/>
  <c r="Q11" i="1"/>
  <c r="P11" i="1"/>
  <c r="O11" i="1"/>
  <c r="N11" i="1"/>
  <c r="L11" i="1"/>
  <c r="K11" i="1"/>
  <c r="J11" i="1"/>
  <c r="G11" i="1"/>
  <c r="F11" i="1"/>
  <c r="E11" i="1"/>
  <c r="Q10" i="1"/>
  <c r="P10" i="1"/>
  <c r="O10" i="1"/>
  <c r="N10" i="1"/>
  <c r="J10" i="1"/>
  <c r="G10" i="1"/>
  <c r="F10" i="1"/>
  <c r="E10" i="1"/>
  <c r="Q9" i="1"/>
  <c r="P9" i="1"/>
  <c r="O9" i="1"/>
  <c r="N9" i="1"/>
  <c r="J9" i="1"/>
  <c r="G9" i="1"/>
  <c r="F9" i="1"/>
  <c r="E9" i="1"/>
  <c r="Q8" i="1"/>
  <c r="P8" i="1"/>
  <c r="O8" i="1"/>
  <c r="N8" i="1"/>
  <c r="J8" i="1"/>
  <c r="G8" i="1"/>
  <c r="F8" i="1"/>
  <c r="E8" i="1"/>
  <c r="Q7" i="1"/>
  <c r="P7" i="1"/>
  <c r="O7" i="1"/>
  <c r="N7" i="1"/>
  <c r="J7" i="1"/>
  <c r="G7" i="1"/>
  <c r="F7" i="1"/>
  <c r="E7" i="1"/>
  <c r="Q6" i="1"/>
  <c r="P6" i="1"/>
  <c r="O6" i="1"/>
  <c r="N6" i="1"/>
  <c r="J6" i="1"/>
  <c r="G6" i="1"/>
  <c r="F6" i="1"/>
  <c r="E6" i="1"/>
  <c r="Q5" i="1"/>
  <c r="P5" i="1"/>
  <c r="O5" i="1"/>
  <c r="N5" i="1"/>
  <c r="J5" i="1"/>
  <c r="G5" i="1"/>
  <c r="F5" i="1"/>
  <c r="E5" i="1"/>
  <c r="Q4" i="1"/>
  <c r="P4" i="1"/>
  <c r="O4" i="1"/>
  <c r="N4" i="1"/>
  <c r="J4" i="1"/>
  <c r="E4" i="1"/>
  <c r="Q3" i="1"/>
  <c r="P3" i="1"/>
  <c r="O3" i="1"/>
  <c r="N3" i="1"/>
  <c r="J3" i="1"/>
  <c r="G3" i="1"/>
  <c r="F3" i="1"/>
  <c r="E3" i="1"/>
  <c r="L61" i="1"/>
  <c r="F63" i="1"/>
  <c r="E63" i="1"/>
  <c r="F60" i="1"/>
  <c r="E60" i="1"/>
  <c r="F54" i="1"/>
  <c r="E54" i="1"/>
  <c r="F57" i="1"/>
  <c r="E57" i="1"/>
  <c r="F67" i="1"/>
  <c r="D67" i="1"/>
  <c r="N50" i="1"/>
  <c r="M50" i="1"/>
  <c r="M59" i="1"/>
  <c r="F49" i="1"/>
  <c r="E49" i="1"/>
  <c r="L63" i="1"/>
  <c r="H38" i="1" l="1"/>
  <c r="H21" i="1"/>
  <c r="H19" i="1"/>
  <c r="H12" i="1"/>
  <c r="H187" i="1"/>
  <c r="H186" i="1"/>
  <c r="H182" i="1"/>
  <c r="H181" i="1"/>
  <c r="M24" i="1"/>
  <c r="H24" i="1"/>
  <c r="R24" i="1" s="1"/>
  <c r="I24" i="1"/>
  <c r="H31" i="1"/>
  <c r="H23" i="1"/>
  <c r="H18" i="1"/>
  <c r="F50" i="1"/>
  <c r="E50" i="1"/>
  <c r="H177" i="1"/>
  <c r="H176" i="1"/>
  <c r="S24" i="1" l="1"/>
  <c r="L25" i="1"/>
  <c r="M25" i="1" s="1"/>
  <c r="H10" i="1"/>
  <c r="H171" i="1"/>
  <c r="H172" i="1"/>
  <c r="H6" i="1"/>
  <c r="H166" i="1"/>
  <c r="H22" i="1"/>
  <c r="H20" i="1"/>
  <c r="H11" i="1"/>
  <c r="M60" i="1"/>
  <c r="M51" i="1"/>
  <c r="L31" i="1"/>
  <c r="M31" i="1" s="1"/>
  <c r="K31" i="1"/>
  <c r="H34" i="1"/>
  <c r="H17" i="1" l="1"/>
  <c r="H51" i="1"/>
  <c r="G51" i="1"/>
  <c r="M16" i="1"/>
  <c r="G50" i="1" l="1"/>
  <c r="H39" i="1" l="1"/>
  <c r="H15" i="1"/>
  <c r="H9" i="1"/>
  <c r="R39" i="1" l="1"/>
  <c r="S39" i="1"/>
  <c r="R19" i="1"/>
  <c r="H13" i="1" l="1"/>
  <c r="H33" i="1" l="1"/>
  <c r="H32" i="1"/>
  <c r="H30" i="1"/>
  <c r="R30" i="1" s="1"/>
  <c r="R20" i="1"/>
  <c r="R29" i="1" l="1"/>
  <c r="H5" i="1"/>
  <c r="H157" i="1"/>
  <c r="H156" i="1"/>
  <c r="H107" i="1"/>
  <c r="H106" i="1"/>
  <c r="H28" i="1"/>
  <c r="R23" i="1"/>
  <c r="I4" i="1"/>
  <c r="I14" i="1"/>
  <c r="H7" i="1"/>
  <c r="R28" i="1" l="1"/>
  <c r="I3" i="1"/>
  <c r="I39" i="1"/>
  <c r="I28" i="1"/>
  <c r="H4" i="1" l="1"/>
  <c r="H3" i="1"/>
  <c r="R21" i="1"/>
  <c r="R17" i="1"/>
  <c r="H137" i="1" l="1"/>
  <c r="H136" i="1"/>
  <c r="H26" i="1" l="1"/>
  <c r="S26" i="1" s="1"/>
  <c r="I26" i="1"/>
  <c r="R26" i="1" l="1"/>
  <c r="I6" i="1"/>
  <c r="S6" i="1" l="1"/>
  <c r="R22" i="1"/>
  <c r="R6" i="1" l="1"/>
  <c r="H27" i="1"/>
  <c r="H29" i="1"/>
  <c r="I21" i="1" l="1"/>
  <c r="H14" i="1"/>
  <c r="I34" i="1"/>
  <c r="H77" i="1"/>
  <c r="H76" i="1"/>
  <c r="S33" i="1" l="1"/>
  <c r="I33" i="1"/>
  <c r="R34" i="1"/>
  <c r="S34" i="1"/>
  <c r="R33" i="1"/>
  <c r="H16" i="1"/>
  <c r="I32" i="1" l="1"/>
  <c r="H25" i="1"/>
  <c r="I31" i="1"/>
  <c r="S28" i="1" l="1"/>
  <c r="H8" i="1"/>
  <c r="S32" i="1"/>
  <c r="R32" i="1"/>
  <c r="S31" i="1"/>
  <c r="R31" i="1"/>
  <c r="I8" i="1" l="1"/>
  <c r="I38" i="1"/>
  <c r="G49" i="1"/>
  <c r="M11" i="1" l="1"/>
  <c r="I30" i="1"/>
  <c r="I27" i="1"/>
  <c r="I25" i="1"/>
  <c r="I23" i="1"/>
  <c r="I22" i="1"/>
  <c r="I20" i="1"/>
  <c r="I19" i="1"/>
  <c r="I17" i="1"/>
  <c r="I5" i="1" l="1"/>
  <c r="I18" i="1"/>
  <c r="I29" i="1"/>
  <c r="I13" i="1"/>
  <c r="I9" i="1"/>
  <c r="I10" i="1"/>
  <c r="I11" i="1"/>
  <c r="I12" i="1"/>
  <c r="I15" i="1"/>
  <c r="I16" i="1"/>
  <c r="I7" i="1"/>
  <c r="S4" i="1" l="1"/>
  <c r="H167" i="1"/>
  <c r="R4" i="1" l="1"/>
  <c r="H82" i="1" l="1"/>
  <c r="H81" i="1"/>
  <c r="H97" i="1"/>
  <c r="H96" i="1"/>
  <c r="S38" i="1" l="1"/>
  <c r="R38" i="1"/>
  <c r="Q46" i="1"/>
  <c r="Q47" i="1" s="1"/>
  <c r="S12" i="1" l="1"/>
  <c r="R13" i="1"/>
  <c r="R8" i="1"/>
  <c r="S5" i="1"/>
  <c r="R12" i="1" l="1"/>
  <c r="R5" i="1"/>
  <c r="S8" i="1"/>
  <c r="S13" i="1"/>
  <c r="S29" i="1" l="1"/>
  <c r="S30" i="1"/>
  <c r="S22" i="1"/>
  <c r="R15" i="1" l="1"/>
  <c r="S15" i="1"/>
  <c r="R27" i="1"/>
  <c r="S27" i="1"/>
  <c r="R9" i="1" l="1"/>
  <c r="S9" i="1"/>
  <c r="S20" i="1" l="1"/>
  <c r="S3" i="1" l="1"/>
  <c r="R3" i="1"/>
  <c r="H50" i="1" l="1"/>
  <c r="H102" i="1" l="1"/>
  <c r="H162" i="1"/>
  <c r="H161" i="1"/>
  <c r="D68" i="1"/>
  <c r="H152" i="1"/>
  <c r="H151" i="1"/>
  <c r="H147" i="1"/>
  <c r="H146" i="1"/>
  <c r="H142" i="1"/>
  <c r="H141" i="1"/>
  <c r="H122" i="1"/>
  <c r="H121" i="1"/>
  <c r="H117" i="1"/>
  <c r="H116" i="1"/>
  <c r="H127" i="1"/>
  <c r="H126" i="1"/>
  <c r="H132" i="1"/>
  <c r="H131" i="1"/>
  <c r="H112" i="1"/>
  <c r="H111" i="1"/>
  <c r="H101" i="1"/>
  <c r="H92" i="1"/>
  <c r="H91" i="1"/>
  <c r="H87" i="1"/>
  <c r="H86" i="1"/>
  <c r="E46" i="1"/>
  <c r="K46" i="1"/>
  <c r="L46" i="1"/>
  <c r="O46" i="1"/>
  <c r="G63" i="1"/>
  <c r="G60" i="1"/>
  <c r="G57" i="1"/>
  <c r="G54" i="1"/>
  <c r="P46" i="1"/>
  <c r="F46" i="1"/>
  <c r="G46" i="1"/>
  <c r="N46" i="1"/>
  <c r="N47" i="1" s="1"/>
  <c r="F68" i="1"/>
  <c r="J46" i="1"/>
  <c r="P47" i="1" l="1"/>
  <c r="I46" i="1"/>
  <c r="R25" i="1"/>
  <c r="S25" i="1"/>
  <c r="S23" i="1"/>
  <c r="S11" i="1"/>
  <c r="R11" i="1"/>
  <c r="S19" i="1"/>
  <c r="S21" i="1"/>
  <c r="S18" i="1"/>
  <c r="R18" i="1"/>
  <c r="R16" i="1"/>
  <c r="S16" i="1"/>
  <c r="R10" i="1"/>
  <c r="S10" i="1"/>
  <c r="R14" i="1"/>
  <c r="S14" i="1"/>
  <c r="S17" i="1"/>
  <c r="R7" i="1"/>
  <c r="S7" i="1"/>
  <c r="M46" i="1"/>
  <c r="H49" i="1"/>
</calcChain>
</file>

<file path=xl/sharedStrings.xml><?xml version="1.0" encoding="utf-8"?>
<sst xmlns="http://schemas.openxmlformats.org/spreadsheetml/2006/main" count="291" uniqueCount="137">
  <si>
    <t>Name</t>
  </si>
  <si>
    <t>GP</t>
  </si>
  <si>
    <t>Goals</t>
  </si>
  <si>
    <t>Assists</t>
  </si>
  <si>
    <t>Points</t>
  </si>
  <si>
    <t>Shots</t>
  </si>
  <si>
    <t>Ground balls</t>
  </si>
  <si>
    <t>FOW</t>
  </si>
  <si>
    <t>Penalties</t>
  </si>
  <si>
    <t>Minutes</t>
  </si>
  <si>
    <t>Games Started</t>
  </si>
  <si>
    <t>Saves</t>
  </si>
  <si>
    <t xml:space="preserve">Team: </t>
  </si>
  <si>
    <t>Goals For</t>
  </si>
  <si>
    <t>Goals Against</t>
  </si>
  <si>
    <t>Total:</t>
  </si>
  <si>
    <t>Per Game:</t>
  </si>
  <si>
    <t>Record:</t>
  </si>
  <si>
    <t>Ties: 0</t>
  </si>
  <si>
    <t>Clears:</t>
  </si>
  <si>
    <t>Successful</t>
  </si>
  <si>
    <t>Unsuccessful</t>
  </si>
  <si>
    <t>Extra Man Opps:</t>
  </si>
  <si>
    <t>Scored</t>
  </si>
  <si>
    <t>Failed</t>
  </si>
  <si>
    <t>Opponents Extra Man Opps:</t>
  </si>
  <si>
    <t>FO Attempts</t>
  </si>
  <si>
    <t>Opponent Clears:</t>
  </si>
  <si>
    <t>FOW %</t>
  </si>
  <si>
    <t>Games</t>
  </si>
  <si>
    <t>Totals:</t>
  </si>
  <si>
    <t>Opponents penalties:</t>
  </si>
  <si>
    <t>Turnovers</t>
  </si>
  <si>
    <t>Jersey #</t>
  </si>
  <si>
    <t>Pos</t>
  </si>
  <si>
    <t>A</t>
  </si>
  <si>
    <t>M</t>
  </si>
  <si>
    <t>D</t>
  </si>
  <si>
    <t>G</t>
  </si>
  <si>
    <t>%</t>
  </si>
  <si>
    <t>#</t>
  </si>
  <si>
    <t>Time</t>
  </si>
  <si>
    <t>Games:</t>
  </si>
  <si>
    <t>Athens Drive</t>
  </si>
  <si>
    <t>1st</t>
  </si>
  <si>
    <t>2nd</t>
  </si>
  <si>
    <t>3rd</t>
  </si>
  <si>
    <t>4th</t>
  </si>
  <si>
    <t>Total</t>
  </si>
  <si>
    <t>T.O.P.</t>
  </si>
  <si>
    <t>Opponents turnovers:</t>
  </si>
  <si>
    <t>Shots on Goal:</t>
  </si>
  <si>
    <t>Opponents shots on goal:</t>
  </si>
  <si>
    <t>Saves per game played</t>
  </si>
  <si>
    <t>Productivity ratio</t>
  </si>
  <si>
    <t>Per Game Contribution</t>
  </si>
  <si>
    <t>Shots on goal</t>
  </si>
  <si>
    <t>Save %</t>
  </si>
  <si>
    <t>D/LSM</t>
  </si>
  <si>
    <t>Home</t>
  </si>
  <si>
    <t>Away</t>
  </si>
  <si>
    <t>Caused T.O</t>
  </si>
  <si>
    <t>Tyler Fields</t>
  </si>
  <si>
    <t>Wes Cohn</t>
  </si>
  <si>
    <t>Shot %</t>
  </si>
  <si>
    <t>Caleb Deak</t>
  </si>
  <si>
    <t>Zander Adkins</t>
  </si>
  <si>
    <t>Brower Evenhouse</t>
  </si>
  <si>
    <t>Webb Linton</t>
  </si>
  <si>
    <t>Kalem McKinnis-Castille</t>
  </si>
  <si>
    <t>Luke Ross</t>
  </si>
  <si>
    <t>Liam Craig</t>
  </si>
  <si>
    <t>Position Rank</t>
  </si>
  <si>
    <t>Brandon Lee</t>
  </si>
  <si>
    <t>Jack Danjczek</t>
  </si>
  <si>
    <t>Trent Smith</t>
  </si>
  <si>
    <t>Owen Honnold</t>
  </si>
  <si>
    <t>Isaiah Beardsley</t>
  </si>
  <si>
    <t>Jay Cohn</t>
  </si>
  <si>
    <t>Green Hope</t>
  </si>
  <si>
    <t>Sanderson</t>
  </si>
  <si>
    <t>Enloe</t>
  </si>
  <si>
    <t>Leesville Road</t>
  </si>
  <si>
    <t>Bradyn Evans</t>
  </si>
  <si>
    <t>Harrison Baublitz</t>
  </si>
  <si>
    <t>Jack Thompson</t>
  </si>
  <si>
    <t>Cardinal Gibbons</t>
  </si>
  <si>
    <t>Wilmington Ashley</t>
  </si>
  <si>
    <t>Broughton</t>
  </si>
  <si>
    <t>Leesville</t>
  </si>
  <si>
    <t>Team</t>
  </si>
  <si>
    <t>Corinth Holders</t>
  </si>
  <si>
    <t>Marc Evilevitch</t>
  </si>
  <si>
    <t>Nathan Le Strat</t>
  </si>
  <si>
    <t>Andrew Dykes</t>
  </si>
  <si>
    <t>Reiter Healey</t>
  </si>
  <si>
    <t>Ryan Kuppler</t>
  </si>
  <si>
    <t>Hayes Clayton</t>
  </si>
  <si>
    <t>Ethan Klein</t>
  </si>
  <si>
    <t>William Hoffheimer</t>
  </si>
  <si>
    <t>Grant Chappell</t>
  </si>
  <si>
    <t>Rashidi Abdul Rashid</t>
  </si>
  <si>
    <t>Kevin Grenier</t>
  </si>
  <si>
    <t>Danny Gelsinger</t>
  </si>
  <si>
    <t>Andrew Moore</t>
  </si>
  <si>
    <t>Jorma Kaehlert</t>
  </si>
  <si>
    <t>Brandon Patterson</t>
  </si>
  <si>
    <t>East Chapel Hill</t>
  </si>
  <si>
    <t>J.H. Rose</t>
  </si>
  <si>
    <t>Apex</t>
  </si>
  <si>
    <t>Green Level</t>
  </si>
  <si>
    <t>New Bern</t>
  </si>
  <si>
    <t>Apex Friendship</t>
  </si>
  <si>
    <t>Neutral</t>
  </si>
  <si>
    <t>Heritage</t>
  </si>
  <si>
    <t>Nate LeStrat</t>
  </si>
  <si>
    <t>OT1</t>
  </si>
  <si>
    <t>OT2</t>
  </si>
  <si>
    <t>OT3</t>
  </si>
  <si>
    <t>OT4</t>
  </si>
  <si>
    <t>OT5</t>
  </si>
  <si>
    <t>OT6</t>
  </si>
  <si>
    <t xml:space="preserve">Athens Drive </t>
  </si>
  <si>
    <t>Playoffs</t>
  </si>
  <si>
    <t>Millbrook</t>
  </si>
  <si>
    <t>Pinecrest</t>
  </si>
  <si>
    <t>Wins: 16</t>
  </si>
  <si>
    <t>Michael Wirt</t>
  </si>
  <si>
    <t>OT</t>
  </si>
  <si>
    <t>Losses: 7</t>
  </si>
  <si>
    <t>Pts</t>
  </si>
  <si>
    <t>goals</t>
  </si>
  <si>
    <t>assists</t>
  </si>
  <si>
    <t>GBs</t>
  </si>
  <si>
    <t>CTO</t>
  </si>
  <si>
    <t>TO</t>
  </si>
  <si>
    <t>Defensive GB Lost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</si>
</sst>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92929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2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0" fillId="0" borderId="0" xfId="1" applyFont="1" applyAlignment="1">
      <alignment horizontal="center"/>
    </xf>
    <xf numFmtId="0" fontId="2" fillId="0" borderId="0" xfId="0" applyFont="1"/>
    <xf numFmtId="0" fontId="0" fillId="0" borderId="2" xfId="0" applyBorder="1" applyAlignment="1">
      <alignment horizontal="center"/>
    </xf>
    <xf numFmtId="46" fontId="0" fillId="0" borderId="0" xfId="0" applyNumberFormat="1"/>
    <xf numFmtId="0" fontId="0" fillId="0" borderId="1" xfId="0" applyBorder="1" applyAlignment="1">
      <alignment horizontal="center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3" xfId="0" applyBorder="1" applyAlignment="1">
      <alignment horizontal="center"/>
    </xf>
    <xf numFmtId="0" fontId="2" fillId="0" borderId="2" xfId="0" applyFont="1" applyBorder="1"/>
    <xf numFmtId="0" fontId="0" fillId="0" borderId="5" xfId="0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164" fontId="0" fillId="0" borderId="0" xfId="1" applyNumberFormat="1" applyFont="1" applyAlignment="1">
      <alignment horizontal="center"/>
    </xf>
    <xf numFmtId="2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6" fillId="0" borderId="1" xfId="0" applyFont="1" applyBorder="1" applyAlignment="1">
      <alignment vertical="center" wrapText="1"/>
    </xf>
    <xf numFmtId="20" fontId="0" fillId="0" borderId="0" xfId="0" applyNumberFormat="1" applyAlignment="1">
      <alignment horizontal="center"/>
    </xf>
    <xf numFmtId="20" fontId="0" fillId="0" borderId="0" xfId="0" applyNumberFormat="1"/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2" fontId="0" fillId="2" borderId="0" xfId="0" applyNumberFormat="1" applyFill="1" applyAlignment="1">
      <alignment horizontal="center"/>
    </xf>
    <xf numFmtId="164" fontId="0" fillId="0" borderId="2" xfId="1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7" fillId="0" borderId="0" xfId="0" quotePrefix="1" applyFont="1" applyAlignment="1">
      <alignment horizontal="center"/>
    </xf>
    <xf numFmtId="164" fontId="0" fillId="0" borderId="0" xfId="1" applyNumberFormat="1" applyFont="1" applyFill="1" applyAlignment="1">
      <alignment horizontal="center"/>
    </xf>
    <xf numFmtId="0" fontId="0" fillId="0" borderId="0" xfId="0" applyAlignment="1">
      <alignment horizontal="right"/>
    </xf>
    <xf numFmtId="164" fontId="0" fillId="0" borderId="0" xfId="1" applyNumberFormat="1" applyFont="1"/>
    <xf numFmtId="10" fontId="0" fillId="0" borderId="0" xfId="1" applyNumberFormat="1" applyFont="1"/>
    <xf numFmtId="0" fontId="0" fillId="0" borderId="1" xfId="0" applyBorder="1"/>
    <xf numFmtId="164" fontId="2" fillId="0" borderId="4" xfId="1" applyNumberFormat="1" applyFont="1" applyBorder="1" applyAlignment="1">
      <alignment horizontal="center"/>
    </xf>
    <xf numFmtId="164" fontId="2" fillId="0" borderId="6" xfId="1" applyNumberFormat="1" applyFont="1" applyBorder="1" applyAlignment="1">
      <alignment horizontal="center"/>
    </xf>
    <xf numFmtId="2" fontId="0" fillId="3" borderId="0" xfId="0" applyNumberFormat="1" applyFill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8" fillId="0" borderId="0" xfId="0" quotePrefix="1" applyFont="1" applyAlignment="1">
      <alignment horizontal="center"/>
    </xf>
    <xf numFmtId="0" fontId="10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0" fontId="11" fillId="0" borderId="0" xfId="0" applyFont="1" applyAlignment="1">
      <alignment horizontal="center"/>
    </xf>
    <xf numFmtId="9" fontId="0" fillId="0" borderId="0" xfId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colors>
    <mruColors>
      <color rgb="FF929292"/>
      <color rgb="FFD5FC79"/>
      <color rgb="FFFF2600"/>
      <color rgb="FFFF2F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W189"/>
  <sheetViews>
    <sheetView tabSelected="1" workbookViewId="0">
      <selection activeCell="W1" sqref="W1:X1048576"/>
    </sheetView>
  </sheetViews>
  <sheetFormatPr baseColWidth="10" defaultColWidth="8.83203125" defaultRowHeight="15" x14ac:dyDescent="0.2"/>
  <cols>
    <col min="1" max="1" width="9.6640625" style="10" bestFit="1" customWidth="1"/>
    <col min="2" max="2" width="5.83203125" style="10" customWidth="1"/>
    <col min="3" max="3" width="20.5" customWidth="1"/>
    <col min="4" max="5" width="11.5" customWidth="1"/>
    <col min="6" max="6" width="10.5" customWidth="1"/>
    <col min="8" max="8" width="10.6640625" bestFit="1" customWidth="1"/>
    <col min="9" max="9" width="10.5" customWidth="1"/>
    <col min="10" max="10" width="10.83203125" customWidth="1"/>
    <col min="11" max="11" width="10.5" customWidth="1"/>
    <col min="16" max="16" width="9.6640625" style="10" customWidth="1"/>
    <col min="17" max="17" width="8.83203125" style="10"/>
    <col min="18" max="18" width="11.5" style="10" hidden="1" customWidth="1"/>
    <col min="19" max="19" width="13.6640625" style="10" hidden="1" customWidth="1"/>
    <col min="20" max="20" width="0" style="10" hidden="1" customWidth="1"/>
    <col min="21" max="24" width="0" hidden="1" customWidth="1"/>
  </cols>
  <sheetData>
    <row r="2" spans="1:23" ht="27" x14ac:dyDescent="0.2">
      <c r="A2" s="15" t="s">
        <v>33</v>
      </c>
      <c r="B2" s="15" t="s">
        <v>34</v>
      </c>
      <c r="C2" s="1" t="s">
        <v>0</v>
      </c>
      <c r="D2" s="1" t="s">
        <v>1</v>
      </c>
      <c r="E2" s="1" t="s">
        <v>5</v>
      </c>
      <c r="F2" s="1" t="s">
        <v>2</v>
      </c>
      <c r="G2" s="1" t="s">
        <v>3</v>
      </c>
      <c r="H2" s="1" t="s">
        <v>4</v>
      </c>
      <c r="I2" s="1" t="s">
        <v>64</v>
      </c>
      <c r="J2" s="1" t="s">
        <v>6</v>
      </c>
      <c r="K2" s="1" t="s">
        <v>26</v>
      </c>
      <c r="L2" s="1" t="s">
        <v>7</v>
      </c>
      <c r="M2" s="1" t="s">
        <v>28</v>
      </c>
      <c r="N2" s="1" t="s">
        <v>8</v>
      </c>
      <c r="O2" s="1" t="s">
        <v>9</v>
      </c>
      <c r="P2" s="1" t="s">
        <v>32</v>
      </c>
      <c r="Q2" s="1" t="s">
        <v>61</v>
      </c>
      <c r="R2" s="28" t="s">
        <v>54</v>
      </c>
      <c r="S2" s="28" t="s">
        <v>55</v>
      </c>
      <c r="T2" s="39" t="s">
        <v>72</v>
      </c>
    </row>
    <row r="3" spans="1:23" x14ac:dyDescent="0.2">
      <c r="A3" s="10">
        <v>9</v>
      </c>
      <c r="B3" s="10" t="s">
        <v>35</v>
      </c>
      <c r="C3" t="s">
        <v>78</v>
      </c>
      <c r="D3" s="10">
        <v>16</v>
      </c>
      <c r="E3" s="10">
        <f>9+12+7+8+4+6+6+13+9+7+7+8+9+5+5+7+0+0+0+0+0+0+0</f>
        <v>122</v>
      </c>
      <c r="F3" s="10">
        <f>2+6+4+2+0+4+1+5+4+3+3+3+4+3+4+3+0+0+0+0+0+0+0</f>
        <v>51</v>
      </c>
      <c r="G3" s="10">
        <f>4+2+6+2+2+6+5+1+2+4+2+5+4+2+3+4+0+0+0+0+0+0+0</f>
        <v>54</v>
      </c>
      <c r="H3" s="10">
        <f>F3+G3</f>
        <v>105</v>
      </c>
      <c r="I3" s="26">
        <f>F3/E3</f>
        <v>0.41803278688524592</v>
      </c>
      <c r="J3" s="10">
        <f>1+2+4+3+0+0+3+6+2+4+3+3+4+1+5+3+0+0+0+0+0+0+0</f>
        <v>44</v>
      </c>
      <c r="K3" s="10"/>
      <c r="L3" s="10"/>
      <c r="M3" s="10"/>
      <c r="N3" s="10">
        <f>1+0+1+1+0+2+1+0+1+0+1+1+1+0+0+0+0+0+0+0+0+0+0</f>
        <v>10</v>
      </c>
      <c r="O3" s="27">
        <f>0.5+0+2+1+0+2+0.5+0+1+0+1+1+1+0+0+0+0+0+0+0+0+0+0</f>
        <v>10</v>
      </c>
      <c r="P3" s="10">
        <f>2+0+3+0+2+0+0+2+1+3+1+0+1+0+1+1+0+0+0+0+0+0+0</f>
        <v>17</v>
      </c>
      <c r="Q3" s="10">
        <f>0+0+0+0+0+0+0+3+1+0+0+0+0+0+2+0+0+0+0+0+0+0+0</f>
        <v>6</v>
      </c>
      <c r="R3" s="37">
        <f>(J3+H3+Q3)/(N3+P3)</f>
        <v>5.7407407407407405</v>
      </c>
      <c r="S3" s="37">
        <f t="shared" ref="S3:S26" si="0">(H3+J3+Q3-N3-P3)/D3</f>
        <v>8</v>
      </c>
      <c r="T3" s="42">
        <v>1</v>
      </c>
    </row>
    <row r="4" spans="1:23" x14ac:dyDescent="0.2">
      <c r="A4" s="10">
        <v>13</v>
      </c>
      <c r="B4" s="10" t="s">
        <v>35</v>
      </c>
      <c r="C4" t="s">
        <v>62</v>
      </c>
      <c r="D4" s="10">
        <v>23</v>
      </c>
      <c r="E4" s="10">
        <f>8+14+7+13+4+13+14+13+9+11+6+8+12+7+5+9+10+6+8+10+6+14+4</f>
        <v>211</v>
      </c>
      <c r="F4" s="10">
        <f>4+2+3+6+1+8+4+3+3+6+3+5+1+2+3+5+3+0+3+2+3+4+0</f>
        <v>74</v>
      </c>
      <c r="G4" s="10">
        <f>2+7+2+2+0+1+0+2+1+2+4+1+1+1+4+2+3+3+0+4+2+2+4</f>
        <v>50</v>
      </c>
      <c r="H4" s="10">
        <f>F4+G4</f>
        <v>124</v>
      </c>
      <c r="I4" s="26">
        <f>F4/E4</f>
        <v>0.35071090047393366</v>
      </c>
      <c r="J4" s="10">
        <f>1+8+2+3+1+4+6+4+5+4+1+3+2+0+3+2+1+1+1+2+0+1+4</f>
        <v>59</v>
      </c>
      <c r="K4" s="10"/>
      <c r="L4" s="10"/>
      <c r="M4" s="10"/>
      <c r="N4" s="10">
        <f>0+0+0+0+0+0+0+0+0+1+0+1+0+0+0+0+0+0+0+1+0+1+0</f>
        <v>4</v>
      </c>
      <c r="O4" s="27">
        <f>0+0+0+0+0+0+0+0+1+0+0.5+0+0+0+0+0+0+0+1+0+3+0</f>
        <v>5.5</v>
      </c>
      <c r="P4" s="10">
        <f>0+2+1+1+2+0+1+1+3+1+1+1+0+0+0+3+7+2+1+4+2+1+4</f>
        <v>38</v>
      </c>
      <c r="Q4" s="10">
        <f>0+4+0+0+0+1+0+0+0+0+1+0+0+0+1+0+0+0+0+2+0+0+0</f>
        <v>9</v>
      </c>
      <c r="R4" s="37">
        <f>(J4+H4+Q4)/(N4+P4)</f>
        <v>4.5714285714285712</v>
      </c>
      <c r="S4" s="37">
        <f t="shared" si="0"/>
        <v>6.5217391304347823</v>
      </c>
      <c r="T4" s="42">
        <v>2</v>
      </c>
    </row>
    <row r="5" spans="1:23" x14ac:dyDescent="0.2">
      <c r="A5" s="10">
        <v>15</v>
      </c>
      <c r="B5" s="10" t="s">
        <v>35</v>
      </c>
      <c r="C5" t="s">
        <v>65</v>
      </c>
      <c r="D5" s="10">
        <v>23</v>
      </c>
      <c r="E5" s="10">
        <f>8+5+4+4+1+3+2+3+2+7+2+3+5+4+9+2+6+5+3+7+7+10+2</f>
        <v>104</v>
      </c>
      <c r="F5" s="10">
        <f>4+1+3+4+0+3+1+2+1+3+2+2+2+1+5+1+1+2+0+1+3+4+0</f>
        <v>46</v>
      </c>
      <c r="G5" s="10">
        <f>1+1+1+0+0+0+0+0+0+0+0+0+0+0+1+0+0+0+0+0+1+0+0</f>
        <v>5</v>
      </c>
      <c r="H5" s="10">
        <f>F5+G5</f>
        <v>51</v>
      </c>
      <c r="I5" s="26">
        <f t="shared" ref="I5:I32" si="1">F5/E5</f>
        <v>0.44230769230769229</v>
      </c>
      <c r="J5" s="10">
        <f>1+0+1+2+0+1+0+3+0+0+2+2+4+0+2+3+2+4+2+3+6+5+1</f>
        <v>44</v>
      </c>
      <c r="K5" s="10"/>
      <c r="L5" s="10"/>
      <c r="M5" s="10"/>
      <c r="N5" s="10">
        <f>0+1+0+0+0+0+2+0+0+0+2+0+0+0+0+0+0+0+0+0+1+0+0</f>
        <v>6</v>
      </c>
      <c r="O5" s="27">
        <f>0+1+0+0+0+0+1+0+0+0+1+0+0+0+0+0+0+0+0+0+1+0+0</f>
        <v>4</v>
      </c>
      <c r="P5" s="10">
        <f>0+1+1+1+0+0+0+0+0+0+2+0+1+1+0+1+0+3+0+2+5+0+0</f>
        <v>18</v>
      </c>
      <c r="Q5" s="10">
        <f>0+0+0+1+1+0+0+2+1+1+0+0+1+0+0+1+1+0+1+0+2+0+1</f>
        <v>13</v>
      </c>
      <c r="R5" s="37">
        <f t="shared" ref="R5:R32" si="2">(J5+H5+Q5)/(N5+P5)</f>
        <v>4.5</v>
      </c>
      <c r="S5" s="37">
        <f t="shared" si="0"/>
        <v>3.652173913043478</v>
      </c>
      <c r="T5" s="42">
        <v>3</v>
      </c>
      <c r="V5" s="46">
        <f>(H3+H6+H8+H10+H11+H14+H15+H16+H17)/448</f>
        <v>0.42857142857142855</v>
      </c>
      <c r="W5" t="s">
        <v>130</v>
      </c>
    </row>
    <row r="6" spans="1:23" x14ac:dyDescent="0.2">
      <c r="A6" s="10">
        <v>20</v>
      </c>
      <c r="B6" s="10" t="s">
        <v>35</v>
      </c>
      <c r="C6" t="s">
        <v>83</v>
      </c>
      <c r="D6" s="10">
        <v>4</v>
      </c>
      <c r="E6" s="10">
        <f>2+0+0+0+0+0+0+0+0+1+0+0+0+0+1+0+0+0+0+0+0+0+0</f>
        <v>4</v>
      </c>
      <c r="F6" s="10">
        <f>0+0+0+0+0+0+0+0+0+1+0+0+0+0+0+0+0+0+0+0+0+0+0</f>
        <v>1</v>
      </c>
      <c r="G6" s="10">
        <f>0+0+0+0+0+0+0+0+0+0+0+0+0+0+0+0+0+0+0+0+0+0+0</f>
        <v>0</v>
      </c>
      <c r="H6" s="10">
        <f>F6+G6</f>
        <v>1</v>
      </c>
      <c r="I6" s="26">
        <f t="shared" si="1"/>
        <v>0.25</v>
      </c>
      <c r="J6" s="10">
        <f>1+0+0+0+0+0+0+0+0+1+0+0+0+0+0+0+0+0+0+0+1+0+0</f>
        <v>3</v>
      </c>
      <c r="K6" s="10"/>
      <c r="L6" s="10"/>
      <c r="M6" s="10"/>
      <c r="N6" s="10">
        <f>0+0+0+0+0+0+0+0+0+0+0+0+0+0+0+0+0+0+0+0+0+0+0</f>
        <v>0</v>
      </c>
      <c r="O6" s="27">
        <f>0+0+0+0+0+0+0+0+0+0+0+0+0+0+0+0+0+0+0+0+0+0+0</f>
        <v>0</v>
      </c>
      <c r="P6" s="10">
        <f>1+0+0+0+0+0+0+0+0+1+0+0+0+0+3+0+0+0+0+0+2+0+0</f>
        <v>7</v>
      </c>
      <c r="Q6" s="10">
        <f>1+0+0+0+0+0+0+0+0+0+0+0+0+0+0+0+0+0+0+0+0+0+0</f>
        <v>1</v>
      </c>
      <c r="R6" s="51">
        <f t="shared" si="2"/>
        <v>0.7142857142857143</v>
      </c>
      <c r="S6" s="51">
        <f t="shared" si="0"/>
        <v>-0.5</v>
      </c>
      <c r="T6" s="42">
        <v>4</v>
      </c>
      <c r="V6" s="46">
        <f>(F3+F6+F8+F10+F11+F14+F15+F16)/275</f>
        <v>0.38181818181818183</v>
      </c>
      <c r="W6" t="s">
        <v>131</v>
      </c>
    </row>
    <row r="7" spans="1:23" x14ac:dyDescent="0.2">
      <c r="A7" s="10">
        <v>1</v>
      </c>
      <c r="B7" s="10" t="s">
        <v>36</v>
      </c>
      <c r="C7" t="s">
        <v>66</v>
      </c>
      <c r="D7" s="10">
        <v>23</v>
      </c>
      <c r="E7" s="10">
        <f>11+4+4+5+2+4+7+9+8+9+3+6+6+7+1+12+5+5+2+10+12+2+6</f>
        <v>140</v>
      </c>
      <c r="F7" s="10">
        <f>4+0+4+0+0+2+1+0+2+4+1+1+2+1+1+1+1+1+1+2+2+2+2</f>
        <v>35</v>
      </c>
      <c r="G7" s="10">
        <f>2+0+1+0+0+1+0+2+0+1+2+2+1+2+5+0+1+0+0+0+4+1+0</f>
        <v>25</v>
      </c>
      <c r="H7" s="10">
        <f>F7+G7</f>
        <v>60</v>
      </c>
      <c r="I7" s="26">
        <f t="shared" si="1"/>
        <v>0.25</v>
      </c>
      <c r="J7" s="10">
        <f>1+3+3+1+1+2+0+1+2+1+0+3+1+1+2+5+1+0+0+1+2+3+2</f>
        <v>36</v>
      </c>
      <c r="K7" s="10"/>
      <c r="L7" s="10"/>
      <c r="M7" s="10"/>
      <c r="N7" s="10">
        <f>0+0+0+0+0+0+1+0+0+0+0+0+0+0+0+1+0+0+1+0+1+0+1</f>
        <v>5</v>
      </c>
      <c r="O7" s="27">
        <f>0+0+0+0+0+0+0.5+0+0+0+0+0+0+0+0+1+0+0+0.5+0+1+0+1</f>
        <v>4</v>
      </c>
      <c r="P7" s="10">
        <f>1+1+1+2+2+0+0+2+1+2+0+1+3+3+2+5+0+3+3+2+2+5+1</f>
        <v>42</v>
      </c>
      <c r="Q7" s="10">
        <f>1+2+1+0+0+0+0+1+1+0+0+0+0+0+0+1+0+0+0+0+0+1+0</f>
        <v>8</v>
      </c>
      <c r="R7" s="37">
        <f t="shared" si="2"/>
        <v>2.2127659574468086</v>
      </c>
      <c r="S7" s="37">
        <f t="shared" si="0"/>
        <v>2.4782608695652173</v>
      </c>
      <c r="T7" s="40">
        <v>2</v>
      </c>
      <c r="V7" s="46">
        <f>(G3+G10+G11+G14+G16+G17)/173</f>
        <v>0.50289017341040465</v>
      </c>
      <c r="W7" t="s">
        <v>132</v>
      </c>
    </row>
    <row r="8" spans="1:23" x14ac:dyDescent="0.2">
      <c r="A8" s="10">
        <v>2</v>
      </c>
      <c r="B8" s="10" t="s">
        <v>36</v>
      </c>
      <c r="C8" t="s">
        <v>85</v>
      </c>
      <c r="D8" s="10">
        <v>19</v>
      </c>
      <c r="E8" s="10">
        <f>0+1+0+1+0+1+0+0+0+0+0+1+0+0+0+0+0+0+1+0+0+0+0</f>
        <v>5</v>
      </c>
      <c r="F8" s="10">
        <f>0+1+0+1+0+0+0+0+0+0+0+0+0+0+0+0+0+0+0+0+0+0+0</f>
        <v>2</v>
      </c>
      <c r="G8" s="10">
        <f>0+0+0+0+0+0+0+0+0+0+0+0+0+0+0+0+0+0+0+0+0+0+0</f>
        <v>0</v>
      </c>
      <c r="H8" s="10">
        <f t="shared" ref="H8" si="3">F8+G8</f>
        <v>2</v>
      </c>
      <c r="I8" s="26">
        <f>F8/E8</f>
        <v>0.4</v>
      </c>
      <c r="J8" s="10">
        <f>1+4+1+1+2+1+2+2+0+0+0+1+0+1+1+1+0+0+0+0+1+3+2</f>
        <v>24</v>
      </c>
      <c r="K8" s="10"/>
      <c r="L8" s="10"/>
      <c r="M8" s="10"/>
      <c r="N8" s="10">
        <f>0+0+0+0+0+0+0+0+0+0+0+0+0+0+0+0+0+0+1+0+0+0+0</f>
        <v>1</v>
      </c>
      <c r="O8" s="27">
        <f>0+0+0+0+0+0+0+0+0+0+0+0+0+0+0+0+0+0+1+0+0+0+0</f>
        <v>1</v>
      </c>
      <c r="P8" s="10">
        <f>0+1+1+1+1+0+0+0+0+0+0+0+0+0+1+0+0+0+0+1+0+1+0</f>
        <v>7</v>
      </c>
      <c r="Q8" s="10">
        <f>0+0+0+1+0+0+0+1+0+0+0+0+0+0+0+0+1+0+1+0+0+0+1</f>
        <v>5</v>
      </c>
      <c r="R8" s="37">
        <f t="shared" si="2"/>
        <v>3.875</v>
      </c>
      <c r="S8" s="37">
        <f t="shared" si="0"/>
        <v>1.2105263157894737</v>
      </c>
      <c r="T8" s="57">
        <v>1</v>
      </c>
      <c r="U8" s="45"/>
      <c r="V8" s="46">
        <f>(J3+J6+J8+J10+J11+J13+J14+J15+J16+J17+J18+J22+J26+J27+J28+J30+J33)/933</f>
        <v>0.50911039657020363</v>
      </c>
      <c r="W8" s="47" t="s">
        <v>133</v>
      </c>
    </row>
    <row r="9" spans="1:23" x14ac:dyDescent="0.2">
      <c r="A9" s="10">
        <v>4</v>
      </c>
      <c r="B9" s="10" t="s">
        <v>36</v>
      </c>
      <c r="C9" t="s">
        <v>92</v>
      </c>
      <c r="D9" s="10">
        <v>2</v>
      </c>
      <c r="E9" s="10">
        <f>0+0+1+0+0+0+0+0+0+0+0+0+0+0+0+1+0+0+0+0+0+0+0</f>
        <v>2</v>
      </c>
      <c r="F9" s="10">
        <f>0+0+0+0+0+0+0+0+0+0+0+0+0+0+0+0+0+0+0+0+0+0+0</f>
        <v>0</v>
      </c>
      <c r="G9" s="10">
        <f>0+0+0+0+0+0+0+0+0+0+0+0+0+0+0+0+0+0+0+0+0+0+0</f>
        <v>0</v>
      </c>
      <c r="H9" s="10">
        <f>F9+G9</f>
        <v>0</v>
      </c>
      <c r="I9" s="26">
        <f t="shared" si="1"/>
        <v>0</v>
      </c>
      <c r="J9" s="10">
        <f>0+0+1+0+0+0+0+0+0+0+0+0+0+0+0+0+0+0+0+0+0+0+0</f>
        <v>1</v>
      </c>
      <c r="K9" s="10"/>
      <c r="L9" s="10"/>
      <c r="M9" s="26"/>
      <c r="N9" s="10">
        <f>0+0+0+0+0+0+0+0+0+0+0+0+0+0+0+0+0+0+0+0+0+0+0</f>
        <v>0</v>
      </c>
      <c r="O9" s="27">
        <f>0+0+0+0+0+0+0+0+0+0+0+0+0+0+0+0+0+0+0+0+0+0+0</f>
        <v>0</v>
      </c>
      <c r="P9" s="10">
        <f>0+0+1+0+0+0+0+0+0+0+0+0+0+0+0+1+0+0+0+0+0+0+0</f>
        <v>2</v>
      </c>
      <c r="Q9" s="10">
        <f>0+0+0+0+0+0+0+0+0+0+0+0+0+0+0+0+0+0+0+0+0+0+0</f>
        <v>0</v>
      </c>
      <c r="R9" s="51">
        <f t="shared" si="2"/>
        <v>0.5</v>
      </c>
      <c r="S9" s="51">
        <f t="shared" si="0"/>
        <v>-0.5</v>
      </c>
      <c r="T9" s="57">
        <v>8</v>
      </c>
      <c r="U9" s="45"/>
      <c r="V9" s="46">
        <f>(Q3+Q6+Q8+Q10+Q11+Q13+Q14+Q15+Q16+Q21+Q27+Q33)/251</f>
        <v>0.2788844621513944</v>
      </c>
      <c r="W9" s="46" t="s">
        <v>134</v>
      </c>
    </row>
    <row r="10" spans="1:23" x14ac:dyDescent="0.2">
      <c r="A10" s="10">
        <v>6</v>
      </c>
      <c r="B10" s="10" t="s">
        <v>36</v>
      </c>
      <c r="C10" t="s">
        <v>74</v>
      </c>
      <c r="D10" s="10">
        <v>23</v>
      </c>
      <c r="E10" s="10">
        <f>5+8+3+2+1+4+5+4+2+1+4+2+6+2+1+8+2+3+1+9+1+3+2</f>
        <v>79</v>
      </c>
      <c r="F10" s="10">
        <f>0+3+3+0+0+1+0+1+0+0+2+1+1+0+0+3+0+0+0+1+1+0+2</f>
        <v>19</v>
      </c>
      <c r="G10" s="10">
        <f>0+0+1+0+0+0+0+0+0+0+0+0+0+1+0+0+0+0+0+0+0+3+0</f>
        <v>5</v>
      </c>
      <c r="H10" s="10">
        <f>F10+G10</f>
        <v>24</v>
      </c>
      <c r="I10" s="26">
        <f t="shared" si="1"/>
        <v>0.24050632911392406</v>
      </c>
      <c r="J10" s="10">
        <f>2+6+3+0+1+0+1+4+5+1+5+2+1+1+2+0+4+2+0+4+3+11+4</f>
        <v>62</v>
      </c>
      <c r="N10" s="10">
        <f>1+1+0+1+1+1+0+1+1+0+0+0+0+0+0+0+0+0+0+1+1+0+0</f>
        <v>9</v>
      </c>
      <c r="O10" s="27">
        <f>1+0.5+0+1+2+2+0+1+1+0+0+0+0+0+0+0+0+0+0+0.5+1+0+0</f>
        <v>10</v>
      </c>
      <c r="P10" s="10">
        <f>0+2+1+3+0+0+0+2+2+0+0+1+2+0+1+2+2+1+6+5+1+1+2</f>
        <v>34</v>
      </c>
      <c r="Q10" s="10">
        <f>0+0+0+1+0+0+0+1+0+0+1+0+0+0+0+2+1+1+0+1+0+0+0</f>
        <v>8</v>
      </c>
      <c r="R10" s="37">
        <f t="shared" si="2"/>
        <v>2.1860465116279069</v>
      </c>
      <c r="S10" s="37">
        <f t="shared" si="0"/>
        <v>2.2173913043478262</v>
      </c>
      <c r="T10" s="40">
        <v>3</v>
      </c>
      <c r="U10" s="45"/>
      <c r="W10" s="46"/>
    </row>
    <row r="11" spans="1:23" x14ac:dyDescent="0.2">
      <c r="A11" s="10">
        <v>7</v>
      </c>
      <c r="B11" s="10" t="s">
        <v>36</v>
      </c>
      <c r="C11" t="s">
        <v>67</v>
      </c>
      <c r="D11" s="10">
        <v>23</v>
      </c>
      <c r="E11" s="10">
        <f>4+5+1+4+4+3+5+6+2+3+4+5+5+4+4+5+4+3+9+9+6+5+8</f>
        <v>108</v>
      </c>
      <c r="F11" s="10">
        <f>1+0+0+0+1+2+1+1+0+1+1+1+2+0+4+1+1+0+1+1+3+0+2</f>
        <v>24</v>
      </c>
      <c r="G11" s="10">
        <f>1+1+0+2+0+2+0+1+0+4+0+1+0+1+1+1+0+0+3+3+1+1+0</f>
        <v>23</v>
      </c>
      <c r="H11" s="10">
        <f>F11+G11</f>
        <v>47</v>
      </c>
      <c r="I11" s="26">
        <f t="shared" si="1"/>
        <v>0.22222222222222221</v>
      </c>
      <c r="J11" s="10">
        <f>2+9+5+4+0+10+2+10+2+5+0+4+3+2+2+3+1+3+2+1+2+7+4</f>
        <v>83</v>
      </c>
      <c r="K11" s="10">
        <f>2+8+4+0+1+9+2+17+0+3+0+1+0+2+4+0+0+0+0+0+0+0</f>
        <v>53</v>
      </c>
      <c r="L11" s="10">
        <f>1+7+4+0+1+9+0+9+0+2+0+1+0+1+2+0+0+0+0+0+0+0</f>
        <v>37</v>
      </c>
      <c r="M11" s="26">
        <f>L11/K11</f>
        <v>0.69811320754716977</v>
      </c>
      <c r="N11" s="10">
        <f>0+0+0+0+0+0+0+1+1+0+0+0+0+0+0+0+0+1+0+0+0+1+0</f>
        <v>4</v>
      </c>
      <c r="O11" s="27">
        <f>0+0+0+0+0+0+0+0.5+1+0+0+0+0+0+0+0+0+1+0+0+0+1+0</f>
        <v>3.5</v>
      </c>
      <c r="P11" s="10">
        <f>1+2+2+1+1+2+1+2+4+3+0+1+0+1+3+2+2+1+3+4+3+5+2</f>
        <v>46</v>
      </c>
      <c r="Q11" s="10">
        <f>0+1+1+1+0+0+1+1+0+1+1+0+0+0+1+2+0+0+1+0+0+0+0</f>
        <v>11</v>
      </c>
      <c r="R11" s="37">
        <f t="shared" si="2"/>
        <v>2.82</v>
      </c>
      <c r="S11" s="37">
        <f t="shared" si="0"/>
        <v>3.9565217391304346</v>
      </c>
      <c r="T11" s="40">
        <v>1</v>
      </c>
      <c r="V11" s="46">
        <f>(P3+P6+P8+P10+P11+P13+P14+P15+P16+P17+P18+P19+P20+P22+P26+P27+P28+P30+P33)/380</f>
        <v>0.49736842105263157</v>
      </c>
      <c r="W11" s="46" t="s">
        <v>135</v>
      </c>
    </row>
    <row r="12" spans="1:23" x14ac:dyDescent="0.2">
      <c r="A12" s="10">
        <v>11</v>
      </c>
      <c r="B12" s="10" t="s">
        <v>36</v>
      </c>
      <c r="C12" t="s">
        <v>94</v>
      </c>
      <c r="D12" s="10">
        <v>9</v>
      </c>
      <c r="E12" s="10">
        <f>0+0+0+0+0+0+0+0+0+0+0+0+0+0+0+1+0+0+0+0+0+0+0</f>
        <v>1</v>
      </c>
      <c r="F12" s="10">
        <f>0+0+0+0+0+0+0+0+0+0+0+0+0+0+0+0+0+0+0+0+0+0+0</f>
        <v>0</v>
      </c>
      <c r="G12" s="10">
        <f>0+0+0+0+0+0+0+0+0+0+0+0+0+0+0+0+0+0+0+0+0+0+0</f>
        <v>0</v>
      </c>
      <c r="H12" s="10">
        <f>F12+G12</f>
        <v>0</v>
      </c>
      <c r="I12" s="26">
        <f t="shared" si="1"/>
        <v>0</v>
      </c>
      <c r="J12" s="10">
        <f>0+0+0+0+0+0+0+0+0+0+0+0+0+0+0+1+0+0+0+0+0+0+0</f>
        <v>1</v>
      </c>
      <c r="K12" s="10"/>
      <c r="L12" s="10"/>
      <c r="M12" s="26"/>
      <c r="N12" s="10">
        <f>0+0+0+0+0+0+0+0+0+0+0+0+0+0+1+0+0+0+0+0+0+0+0</f>
        <v>1</v>
      </c>
      <c r="O12" s="27">
        <f>0+0+0+0+0+0+0+0+0+0+0+0+0+0+2+0+0+0+0+0+0+0+0</f>
        <v>2</v>
      </c>
      <c r="P12" s="10">
        <f>0+1+0+0+0+0+0+0+0+0+0+0+0+0+0+0+0+0+0+0+0+0+0</f>
        <v>1</v>
      </c>
      <c r="Q12" s="10">
        <f>0+0+0+0+0+0+0+0+0+0+0+0+0+0+0+0+0+0+0+0+0+0+0</f>
        <v>0</v>
      </c>
      <c r="R12" s="51">
        <f t="shared" si="2"/>
        <v>0.5</v>
      </c>
      <c r="S12" s="51">
        <f t="shared" si="0"/>
        <v>-0.1111111111111111</v>
      </c>
      <c r="T12" s="57">
        <v>6</v>
      </c>
    </row>
    <row r="13" spans="1:23" x14ac:dyDescent="0.2">
      <c r="A13" s="10">
        <v>14</v>
      </c>
      <c r="B13" s="10" t="s">
        <v>36</v>
      </c>
      <c r="C13" t="s">
        <v>75</v>
      </c>
      <c r="D13" s="10">
        <v>20</v>
      </c>
      <c r="E13" s="10">
        <f>1+0+0+0+0+0+0+0+0+0+0+1+0+0+0+0+0+0+0+0+0+0+0</f>
        <v>2</v>
      </c>
      <c r="F13" s="10">
        <f>0+0+0+0+0+0+0+0+0+0+0+0+0+0+0+0+0+0+0+0+0+0+0</f>
        <v>0</v>
      </c>
      <c r="G13" s="10">
        <f>0+0+0+0+0+0+0+0+0+0+0+0+0+0+0+0+0+0+0+0+0+0+0</f>
        <v>0</v>
      </c>
      <c r="H13" s="10">
        <f>F13+G13</f>
        <v>0</v>
      </c>
      <c r="I13" s="26">
        <f t="shared" si="1"/>
        <v>0</v>
      </c>
      <c r="J13" s="10">
        <f>0+0+0+0+0+0+0+0+0+0+0+1+0+0+1+0+1+2+1+0+0+0+1</f>
        <v>7</v>
      </c>
      <c r="K13" s="10"/>
      <c r="L13" s="10"/>
      <c r="M13" s="26"/>
      <c r="N13" s="10">
        <f>0+0+0+0+0+0+0+0+0+0+0+0+0+0+0+0+0+1+0+0+0+0+2</f>
        <v>3</v>
      </c>
      <c r="O13" s="27">
        <f>0+0+0+0+0+0+0+0+0+0+0+0+0+0+0+0+0+1+0+0+0+0+2.5</f>
        <v>3.5</v>
      </c>
      <c r="P13" s="10">
        <f>0+0+1+0+0+0+0+0+0+0+0+0+0+1+2+0+1+0+0+0+0+0+0</f>
        <v>5</v>
      </c>
      <c r="Q13" s="10">
        <f>2+0+0+0+0+0+2+0+0+0+0+1+0+0+0+0+1+1+0+2+0+1+0</f>
        <v>10</v>
      </c>
      <c r="R13" s="37">
        <f t="shared" si="2"/>
        <v>2.125</v>
      </c>
      <c r="S13" s="37">
        <f t="shared" si="0"/>
        <v>0.45</v>
      </c>
      <c r="T13" s="57">
        <v>2</v>
      </c>
      <c r="U13" s="45"/>
      <c r="V13" s="46">
        <f>(F49)/210</f>
        <v>0.97619047619047616</v>
      </c>
      <c r="W13" s="46"/>
    </row>
    <row r="14" spans="1:23" x14ac:dyDescent="0.2">
      <c r="A14" s="10">
        <v>16</v>
      </c>
      <c r="B14" s="10" t="s">
        <v>36</v>
      </c>
      <c r="C14" t="s">
        <v>84</v>
      </c>
      <c r="D14" s="10">
        <v>20</v>
      </c>
      <c r="E14" s="10">
        <f>5+0+0+1+0+3+0+1+0+0+0+0+0+0+0+0+3+2+1+3+3+8+2</f>
        <v>32</v>
      </c>
      <c r="F14" s="10">
        <f>0+0+0+1+0+0+0+0+0+0+0+0+0+0+0+0+0+1+0+1+1+1+1</f>
        <v>6</v>
      </c>
      <c r="G14" s="10">
        <f>0+0+0+0+0+1+0+0+0+0+0+0+0+0+0+0+0+0+0+0+0+0+0</f>
        <v>1</v>
      </c>
      <c r="H14" s="10">
        <f t="shared" ref="H14:H16" si="4">F14+G14</f>
        <v>7</v>
      </c>
      <c r="I14" s="44">
        <f>F14/E14</f>
        <v>0.1875</v>
      </c>
      <c r="J14" s="10">
        <f>1+0+0+1+0+1+0+2+0+0+0+0+1+0+1+2+3+1+0+1+4+4+0</f>
        <v>22</v>
      </c>
      <c r="K14" s="10"/>
      <c r="L14" s="10"/>
      <c r="N14" s="10">
        <f>0+0+0+0+0+0+0+0+0+0+0+0+0+0+0+0+0+0+0+0+0+1+0</f>
        <v>1</v>
      </c>
      <c r="O14" s="27">
        <f>0+0+0+0+0+0+0+0+0+0+0+0+0+0+0+0+0+0+0+0+0+0.5+0</f>
        <v>0.5</v>
      </c>
      <c r="P14" s="10">
        <f>1+1+0+0+0+0+0+1+0+0+0+0+0+1+0+0+1+1+2+2+2+0+0</f>
        <v>12</v>
      </c>
      <c r="Q14" s="10">
        <f>0+1+0+0+0+0+0+1+0+0+0+0+0+0+0+0+0+0+0+0+0+0+1</f>
        <v>3</v>
      </c>
      <c r="R14" s="37">
        <f t="shared" si="2"/>
        <v>2.4615384615384617</v>
      </c>
      <c r="S14" s="37">
        <f t="shared" si="0"/>
        <v>0.95</v>
      </c>
      <c r="T14" s="43">
        <v>4</v>
      </c>
    </row>
    <row r="15" spans="1:23" x14ac:dyDescent="0.2">
      <c r="A15" s="10">
        <v>18</v>
      </c>
      <c r="B15" s="10" t="s">
        <v>36</v>
      </c>
      <c r="C15" t="s">
        <v>96</v>
      </c>
      <c r="D15" s="10">
        <v>20</v>
      </c>
      <c r="E15" s="10">
        <f>0+1+2+0+1+0+0+0+0+0+0+0+0+0+1+3+0+1+0+0+0+1+0</f>
        <v>10</v>
      </c>
      <c r="F15" s="10">
        <f>0+0+0+0+1+0+0+0+0+0+0+0+0+0+0+0+0+0+0+0+0+0+0</f>
        <v>1</v>
      </c>
      <c r="G15" s="10">
        <f>0+0+0+0+0+0+0+0+0+0+0+0+0+0+0+0+0+0+0+0+0+0+0</f>
        <v>0</v>
      </c>
      <c r="H15" s="10">
        <f>F15+G15</f>
        <v>1</v>
      </c>
      <c r="I15" s="44">
        <f t="shared" si="1"/>
        <v>0.1</v>
      </c>
      <c r="J15" s="10">
        <f>0+1+0+0+0+0+0+0+1+0+0+1+0+0+2+0+1+1+0+0+0+1+0</f>
        <v>8</v>
      </c>
      <c r="K15" s="10"/>
      <c r="L15" s="10"/>
      <c r="M15" s="44"/>
      <c r="N15" s="10">
        <f>0+0+0+0+0+0+0+0+0+0+0+0+0+0+0+0+0+0+0+0+1+0+0</f>
        <v>1</v>
      </c>
      <c r="O15" s="27">
        <f>0+0+0+0+0+0+0+0+0+0+0+0+0+0+0+0+0+0+0+0+0+1+0+0</f>
        <v>1</v>
      </c>
      <c r="P15" s="10">
        <f>0+0+1+0+1+0+0+0+0+0+0+0+0+0+0+1+3+0+0+0+0+1+1</f>
        <v>8</v>
      </c>
      <c r="Q15" s="10">
        <f>0+1+0+0+0+0+0+0+0+0+0+0+0+0+1+0+1+0+0+0+0+0+0</f>
        <v>3</v>
      </c>
      <c r="R15" s="37">
        <f t="shared" si="2"/>
        <v>1.3333333333333333</v>
      </c>
      <c r="S15" s="37">
        <f t="shared" si="0"/>
        <v>0.15</v>
      </c>
      <c r="T15" s="40">
        <v>6</v>
      </c>
    </row>
    <row r="16" spans="1:23" x14ac:dyDescent="0.2">
      <c r="A16" s="10">
        <v>19</v>
      </c>
      <c r="B16" s="10" t="s">
        <v>36</v>
      </c>
      <c r="C16" t="s">
        <v>71</v>
      </c>
      <c r="D16" s="10">
        <v>22</v>
      </c>
      <c r="E16" s="10">
        <f>1+1+2+3+0+3+1+0+1+1+0+1+1+1+2+0+1+2+0+0+0+1+1</f>
        <v>23</v>
      </c>
      <c r="F16" s="10">
        <f>0+1+0+0+0+0+0+0+0+0+0+0+0+0+0+0+0+0+0+0+0+0+0</f>
        <v>1</v>
      </c>
      <c r="G16" s="10">
        <f>0+0+0+0+0+0+0+0+0+1+0+0+0+0+0+0+1+0+0+0+0+0+0</f>
        <v>2</v>
      </c>
      <c r="H16" s="10">
        <f t="shared" si="4"/>
        <v>3</v>
      </c>
      <c r="I16" s="44">
        <f t="shared" si="1"/>
        <v>4.3478260869565216E-2</v>
      </c>
      <c r="J16" s="10">
        <f>8+8+6+8+4+12+2+0+9+10+11+6+14+3+16+5+8+2+5+13+3+9+14</f>
        <v>176</v>
      </c>
      <c r="K16" s="10">
        <f>16+16+18+28+21+15+24+0+23+24+25+24+30+15+23+23+17+10+22+25+23+24+19</f>
        <v>465</v>
      </c>
      <c r="L16" s="10">
        <f>16+14+15+20+11+15+7+0+17+21+21+12+29+8+22+16+17+5+14+18+12+18+17</f>
        <v>345</v>
      </c>
      <c r="M16" s="26">
        <f>L16/K16</f>
        <v>0.74193548387096775</v>
      </c>
      <c r="N16" s="10">
        <f>0+0+0+0+0+0+1+0+0+0+0+0+0+0+0+0+0+0+0+0+0+0+0</f>
        <v>1</v>
      </c>
      <c r="O16" s="27">
        <f>0+0+0+0+0+0+1+0+0+0+0+0+0+0+0+0+0+0+0+0+0+0+0</f>
        <v>1</v>
      </c>
      <c r="P16" s="10">
        <f>1+1+0+2+0+0+0+0+3+1+4+4+2+0+0+0+1+0+0+5+0+1+4</f>
        <v>29</v>
      </c>
      <c r="Q16" s="10">
        <f>0+0+0+0+0+0+0+0+0+0+1+0+0+0+0+0+0+0+0+0+0+0+0</f>
        <v>1</v>
      </c>
      <c r="R16" s="37">
        <f t="shared" si="2"/>
        <v>6</v>
      </c>
      <c r="S16" s="37">
        <f t="shared" si="0"/>
        <v>6.8181818181818183</v>
      </c>
      <c r="T16" s="54">
        <v>1</v>
      </c>
    </row>
    <row r="17" spans="1:23" x14ac:dyDescent="0.2">
      <c r="A17" s="10">
        <v>22</v>
      </c>
      <c r="B17" s="10" t="s">
        <v>36</v>
      </c>
      <c r="C17" t="s">
        <v>97</v>
      </c>
      <c r="D17" s="10">
        <v>5</v>
      </c>
      <c r="E17" s="10">
        <f>0+0+1+0+0+0+0+0+0+0+0+0+0+0+1+0+0+0+0+0+0+0+0</f>
        <v>2</v>
      </c>
      <c r="F17" s="10">
        <f t="shared" ref="F17:F23" si="5">0+0+0+0+0+0+0+0+0+0+0+0+0+0+0+0+0+0+0+0+0+0+0</f>
        <v>0</v>
      </c>
      <c r="G17" s="10">
        <f>0+0+0+0+0+0+0+0+0+1+0+0+0+0+1+0+0+0+0+0+0+0+0</f>
        <v>2</v>
      </c>
      <c r="H17" s="10">
        <f t="shared" ref="H17:H24" si="6">F17+G17</f>
        <v>2</v>
      </c>
      <c r="I17" s="26">
        <f t="shared" si="1"/>
        <v>0</v>
      </c>
      <c r="J17" s="10">
        <f>0+0+1+0+0+0+0+0+0+2+0+0+0+0+0+0+0+0+0+0+0+0+0</f>
        <v>3</v>
      </c>
      <c r="K17" s="10"/>
      <c r="L17" s="10"/>
      <c r="M17" s="26"/>
      <c r="N17" s="10">
        <f>0+0+0+0+0+0+0+0+0+0+0+0+0+0+0+0+0+0+0+0+0+0+0</f>
        <v>0</v>
      </c>
      <c r="O17" s="27">
        <f>0+0+0+0+0+0+0+0+0+0+0+0+0+0+0+0+0+0+0+0+0+0+0</f>
        <v>0</v>
      </c>
      <c r="P17" s="10">
        <f>1+0+0+0+0+0+0+0+0+0+0+0+0+0+0+0+0+0+0+0+1+0+0</f>
        <v>2</v>
      </c>
      <c r="Q17" s="10">
        <f>0+0+0+0+0+0+0+0+0+0+0+0+0+0+0+0+0+0+0+0+0+0+0</f>
        <v>0</v>
      </c>
      <c r="R17" s="37">
        <f>(J17+H17+Q17)/(N17+P17)</f>
        <v>2.5</v>
      </c>
      <c r="S17" s="37">
        <f t="shared" si="0"/>
        <v>0.6</v>
      </c>
      <c r="T17" s="40">
        <v>5</v>
      </c>
    </row>
    <row r="18" spans="1:23" x14ac:dyDescent="0.2">
      <c r="A18" s="10">
        <v>23</v>
      </c>
      <c r="B18" s="10" t="s">
        <v>36</v>
      </c>
      <c r="C18" t="s">
        <v>98</v>
      </c>
      <c r="D18" s="10">
        <v>21</v>
      </c>
      <c r="E18" s="10">
        <f>1+0+1+0+0+5+0+0+0+1+0+0+0+0+0+1+0+0+0+0+0+1+0</f>
        <v>10</v>
      </c>
      <c r="F18" s="10">
        <f t="shared" si="5"/>
        <v>0</v>
      </c>
      <c r="G18" s="10">
        <f>0+0+0+0+0+0+0+0+0+0+0+0+0+0+0+0+0+0+0+0+0+0+0</f>
        <v>0</v>
      </c>
      <c r="H18" s="10">
        <f t="shared" si="6"/>
        <v>0</v>
      </c>
      <c r="I18" s="26">
        <f t="shared" si="1"/>
        <v>0</v>
      </c>
      <c r="J18" s="10">
        <f>1+1+0+0+0+3+0+0+0+0+0+0+0+0+0+1+0+1+0+0+0+0+0</f>
        <v>7</v>
      </c>
      <c r="K18" s="10"/>
      <c r="L18" s="10"/>
      <c r="N18" s="10">
        <f>0+1+0+0+0+1+0+0+0+0+0+0+0+0+0+0+0+1+0+0+0+0+0</f>
        <v>3</v>
      </c>
      <c r="O18" s="27">
        <f>0+1+0+0+0+0.5+0+0+0+0+0+0+0+0+0+0+0+1+0+0+0+0+0</f>
        <v>2.5</v>
      </c>
      <c r="P18" s="10">
        <f>3+1+1+0+0+0+0+1+0+2+0+0+0+0+0+0+0+0+0+0+0+0+1</f>
        <v>9</v>
      </c>
      <c r="Q18" s="10">
        <f>0+0+0+0+0+0+0+0+0+0+0+0+0+0+0+0+0+0+0+0+0+0+0</f>
        <v>0</v>
      </c>
      <c r="R18" s="51">
        <f t="shared" si="2"/>
        <v>0.58333333333333337</v>
      </c>
      <c r="S18" s="51">
        <f t="shared" si="0"/>
        <v>-0.23809523809523808</v>
      </c>
      <c r="T18" s="40">
        <v>8</v>
      </c>
    </row>
    <row r="19" spans="1:23" x14ac:dyDescent="0.2">
      <c r="A19" s="10">
        <v>26</v>
      </c>
      <c r="B19" s="10" t="s">
        <v>36</v>
      </c>
      <c r="C19" t="s">
        <v>70</v>
      </c>
      <c r="D19" s="10">
        <v>3</v>
      </c>
      <c r="E19" s="10">
        <f>0+0+0+0+0+0+0+0+0+1+0+0+0+0+0+0+0+0+0+0+0+0+0</f>
        <v>1</v>
      </c>
      <c r="F19" s="10">
        <f t="shared" si="5"/>
        <v>0</v>
      </c>
      <c r="G19" s="10">
        <f>0+0+0+0+0+0+0+0+0+0+0+0+0+0+0+0+0+0+0+0+0+0+0</f>
        <v>0</v>
      </c>
      <c r="H19" s="10">
        <f t="shared" si="6"/>
        <v>0</v>
      </c>
      <c r="I19" s="26">
        <f t="shared" si="1"/>
        <v>0</v>
      </c>
      <c r="J19" s="10">
        <f>0+0+0+0+0+0+0+0+0+0+0+0+0+0+0+0+0+0+0+0+0+0+0</f>
        <v>0</v>
      </c>
      <c r="K19" s="10"/>
      <c r="L19" s="10"/>
      <c r="M19" s="11"/>
      <c r="N19" s="10">
        <f>0+0+0+0+0+0+0+0+0+0+0+0+0+0+0+0+0+0+0+0+0+0+0</f>
        <v>0</v>
      </c>
      <c r="O19" s="27">
        <f>0+0+0+0+0+0+0+0+0+0+0+0+0+0+0+0+0+0+0+0+0+0+0</f>
        <v>0</v>
      </c>
      <c r="P19" s="10">
        <f>0+0+1+0+0+0+0+0+0+0+0+0+0+0+0+0+0+0+0+0+0+0+0</f>
        <v>1</v>
      </c>
      <c r="Q19" s="10">
        <f>0+0+0+0+0+0+0+0+0+0+0+0+0+0+0+0+0+0+0+0+0+0+0</f>
        <v>0</v>
      </c>
      <c r="R19" s="51">
        <f>(J19+H19+Q19)/(N19+P19)</f>
        <v>0</v>
      </c>
      <c r="S19" s="51">
        <f t="shared" si="0"/>
        <v>-0.33333333333333331</v>
      </c>
      <c r="T19" s="57">
        <v>7</v>
      </c>
    </row>
    <row r="20" spans="1:23" x14ac:dyDescent="0.2">
      <c r="A20" s="10">
        <v>27</v>
      </c>
      <c r="B20" s="10" t="s">
        <v>36</v>
      </c>
      <c r="C20" t="s">
        <v>99</v>
      </c>
      <c r="D20" s="10">
        <v>5</v>
      </c>
      <c r="E20" s="10">
        <f>1+0+0+0+0+0+0+0+0+0+0+0+0+0+0+0+0+0+0+0+0+0+0</f>
        <v>1</v>
      </c>
      <c r="F20" s="10">
        <f t="shared" si="5"/>
        <v>0</v>
      </c>
      <c r="G20" s="10">
        <f>0+0+0+0+0+0+0+0+0+0+0+0+0+0+0+0+0+0+0+0+0+0</f>
        <v>0</v>
      </c>
      <c r="H20" s="10">
        <f t="shared" si="6"/>
        <v>0</v>
      </c>
      <c r="I20" s="26">
        <f t="shared" si="1"/>
        <v>0</v>
      </c>
      <c r="J20" s="10">
        <f>0+0+0+0+0+0+0+0+0+0+0+0+0+0+0+0+0+0+0+0+0+0+0</f>
        <v>0</v>
      </c>
      <c r="N20" s="10">
        <f>0+0+0+0+0+0+0+0+0+0+0+0+0+0+0+0+0+0+0+0+0+0+0</f>
        <v>0</v>
      </c>
      <c r="O20" s="27">
        <f>0+0+0+0+0+0+0+0+0+0+0+0+0+0+0+0+0+0+0+0+0+0+0</f>
        <v>0</v>
      </c>
      <c r="P20" s="10">
        <f>0+0+0+0+0+0+0+0+0+0+0+0+0+0+1+0+0+0+0+0+0+0+0</f>
        <v>1</v>
      </c>
      <c r="Q20" s="10">
        <f>0+0+0+0+0+0+0+0+0+0+0+0+0+0+0+0+0+0+0+0+0+0+0</f>
        <v>0</v>
      </c>
      <c r="R20" s="51">
        <f>(J20+H20+Q20)/(N20+P20)</f>
        <v>0</v>
      </c>
      <c r="S20" s="51">
        <f t="shared" si="0"/>
        <v>-0.2</v>
      </c>
      <c r="T20" s="40">
        <v>7</v>
      </c>
    </row>
    <row r="21" spans="1:23" x14ac:dyDescent="0.2">
      <c r="A21" s="10">
        <v>28</v>
      </c>
      <c r="B21" s="10" t="s">
        <v>36</v>
      </c>
      <c r="C21" t="s">
        <v>100</v>
      </c>
      <c r="D21" s="10">
        <v>4</v>
      </c>
      <c r="E21" s="10">
        <f>0+0+0+0+0+0+0+0+0+0+0+0+0+0+0+0+0+0+0+0+0+0+0</f>
        <v>0</v>
      </c>
      <c r="F21" s="10">
        <f t="shared" si="5"/>
        <v>0</v>
      </c>
      <c r="G21" s="10">
        <f>0+0+0+0+0+0+0+0+0+0+0+0+0+0+0+0+0+0+0+0+0+0+0</f>
        <v>0</v>
      </c>
      <c r="H21" s="10">
        <f t="shared" si="6"/>
        <v>0</v>
      </c>
      <c r="I21" s="26" t="e">
        <f>F21/E21</f>
        <v>#DIV/0!</v>
      </c>
      <c r="J21" s="10">
        <f>0+0+0+0+0+0+0+0+0+0+0+0+0+0+0+0+0+0+0+0+0+0+0</f>
        <v>0</v>
      </c>
      <c r="K21" s="10"/>
      <c r="L21" s="10"/>
      <c r="N21" s="10">
        <f>0+0+0+0+0+0+0+0+0+0+0+0+0+0+0+0+0+0+0+0+0+0</f>
        <v>0</v>
      </c>
      <c r="O21" s="27">
        <f>0+0+0+0+0+0+0+0+0+0+0+0+0+0+0+0+0+0+0+0+0+0+0</f>
        <v>0</v>
      </c>
      <c r="P21" s="10">
        <f>0+0+0+0+0+0+0+0+0+0+0+0+0+0+0+0+0+0+0+0+0+0+0</f>
        <v>0</v>
      </c>
      <c r="Q21" s="10">
        <f>1+0+0+0+0+0+0+0+0+0+0+0+0+0+0+0+0+0+0+0+0+0+0</f>
        <v>1</v>
      </c>
      <c r="R21" s="27" t="e">
        <f>(J21+H21+Q21)/(N21+P21)</f>
        <v>#DIV/0!</v>
      </c>
      <c r="S21" s="37">
        <f t="shared" si="0"/>
        <v>0.25</v>
      </c>
      <c r="T21" s="57">
        <v>4</v>
      </c>
    </row>
    <row r="22" spans="1:23" x14ac:dyDescent="0.2">
      <c r="A22" s="10">
        <v>30</v>
      </c>
      <c r="B22" s="10" t="s">
        <v>36</v>
      </c>
      <c r="C22" t="s">
        <v>101</v>
      </c>
      <c r="D22" s="10">
        <v>5</v>
      </c>
      <c r="E22" s="10">
        <f>0+0+0+0+0+0+0+0+0+1+0+0+0+0+0+0+0+0+0+0+0+0+0</f>
        <v>1</v>
      </c>
      <c r="F22" s="10">
        <f t="shared" si="5"/>
        <v>0</v>
      </c>
      <c r="G22" s="10">
        <f>0+0+0+0+0+0+0+0+0+0+0+0+0+0+0+0+0+0+0+0+0+0+0</f>
        <v>0</v>
      </c>
      <c r="H22" s="10">
        <f t="shared" si="6"/>
        <v>0</v>
      </c>
      <c r="I22" s="26">
        <f t="shared" si="1"/>
        <v>0</v>
      </c>
      <c r="J22" s="10">
        <f>2+0+0+0+0+0+0+0+0+1+0+0+0+0+0+0+0+0+0+0+0+0+0</f>
        <v>3</v>
      </c>
      <c r="K22" s="10"/>
      <c r="L22" s="10"/>
      <c r="M22" s="26"/>
      <c r="N22" s="10">
        <f>0+0+0+0+0+0+0+0+0+0+0+0+0+0+0+0+0+0+0+0+0+0+0</f>
        <v>0</v>
      </c>
      <c r="O22" s="27">
        <f>0+0+0+0+0+0+0+0+0+0+0+0+0+0+0+0+0+0+0+0+0+0+0</f>
        <v>0</v>
      </c>
      <c r="P22" s="10">
        <f>1+0+0+0+0+0+0+0+0+0+0+0+0+0+1+0+0+0+0+0+0+0+0</f>
        <v>2</v>
      </c>
      <c r="Q22" s="10">
        <f>0+0+0+0+0+0+0+0+0+0+0+0+0+0+0+0+0+0+0+0+0+0+0</f>
        <v>0</v>
      </c>
      <c r="R22" s="37">
        <f>(J22+H22+Q22)/(N22+P22)</f>
        <v>1.5</v>
      </c>
      <c r="S22" s="37">
        <f t="shared" si="0"/>
        <v>0.2</v>
      </c>
      <c r="T22" s="57">
        <v>5</v>
      </c>
    </row>
    <row r="23" spans="1:23" x14ac:dyDescent="0.2">
      <c r="A23" s="10">
        <v>32</v>
      </c>
      <c r="B23" s="10" t="s">
        <v>36</v>
      </c>
      <c r="C23" t="s">
        <v>102</v>
      </c>
      <c r="D23" s="10">
        <v>10</v>
      </c>
      <c r="E23" s="10">
        <f>0+0+0+0+0+0+0+0+0+0+0+0+0+0+0+0+0+0+0+0+0+0+0</f>
        <v>0</v>
      </c>
      <c r="F23" s="10">
        <f t="shared" si="5"/>
        <v>0</v>
      </c>
      <c r="G23" s="10">
        <f>0+0+0+0+0+0+0+0+0+0+0+0+0+0+0+0+0+0+0+0+0+0+0</f>
        <v>0</v>
      </c>
      <c r="H23" s="10">
        <f t="shared" si="6"/>
        <v>0</v>
      </c>
      <c r="I23" s="26" t="e">
        <f t="shared" si="1"/>
        <v>#DIV/0!</v>
      </c>
      <c r="J23" s="10">
        <f>0+0+0+0+0+1+0+0+0+0+0+0+1+0+0+2+0+0+0+0+0+0+0</f>
        <v>4</v>
      </c>
      <c r="K23" s="10"/>
      <c r="L23" s="10"/>
      <c r="N23" s="10">
        <f>0+0+0+0+0+0+0+0+0+0+0+0+0+0+0+0+0+0+0+0+0+0+0</f>
        <v>0</v>
      </c>
      <c r="O23" s="27">
        <f>0+0+0+0+0+0+0+0+0+0+0+0+0+0+0+0+0+0+0+0+0+0+0</f>
        <v>0</v>
      </c>
      <c r="P23" s="10">
        <f>0+0+0+0+0+0+0+0+0+0+0+0+0+0+0+0+0+0+0+0+0+0+0</f>
        <v>0</v>
      </c>
      <c r="Q23" s="10">
        <f>0+0+0+0+0+0+0+0+0+0+0+0+0+0+0+0+0+0+0+0+0+0+0</f>
        <v>0</v>
      </c>
      <c r="R23" s="27" t="e">
        <f>(J23+H23+Q23)/(N23+P23)</f>
        <v>#DIV/0!</v>
      </c>
      <c r="S23" s="37">
        <f t="shared" si="0"/>
        <v>0.4</v>
      </c>
      <c r="T23" s="57">
        <v>3</v>
      </c>
    </row>
    <row r="24" spans="1:23" x14ac:dyDescent="0.2">
      <c r="A24" s="10">
        <v>99</v>
      </c>
      <c r="B24" s="10" t="s">
        <v>36</v>
      </c>
      <c r="C24" t="s">
        <v>127</v>
      </c>
      <c r="D24" s="10">
        <v>1</v>
      </c>
      <c r="E24" s="10">
        <f>0+0</f>
        <v>0</v>
      </c>
      <c r="F24" s="10">
        <f>0+0</f>
        <v>0</v>
      </c>
      <c r="G24" s="10">
        <f>0+0</f>
        <v>0</v>
      </c>
      <c r="H24" s="10">
        <f t="shared" si="6"/>
        <v>0</v>
      </c>
      <c r="I24" s="26" t="e">
        <f t="shared" si="1"/>
        <v>#DIV/0!</v>
      </c>
      <c r="J24" s="10">
        <f>0+0</f>
        <v>0</v>
      </c>
      <c r="K24" s="10">
        <f>1+0</f>
        <v>1</v>
      </c>
      <c r="L24" s="10">
        <f>1+0</f>
        <v>1</v>
      </c>
      <c r="M24" s="26">
        <f>L24/K24</f>
        <v>1</v>
      </c>
      <c r="N24" s="10">
        <f>0+0</f>
        <v>0</v>
      </c>
      <c r="O24" s="27">
        <f>0+0</f>
        <v>0</v>
      </c>
      <c r="P24" s="10">
        <f>0+0</f>
        <v>0</v>
      </c>
      <c r="Q24" s="10">
        <f>0+0</f>
        <v>0</v>
      </c>
      <c r="R24" s="27" t="e">
        <f t="shared" si="2"/>
        <v>#DIV/0!</v>
      </c>
      <c r="S24" s="27">
        <f t="shared" si="0"/>
        <v>0</v>
      </c>
      <c r="T24" s="57"/>
    </row>
    <row r="25" spans="1:23" x14ac:dyDescent="0.2">
      <c r="A25" s="10">
        <v>17</v>
      </c>
      <c r="B25" s="10" t="s">
        <v>58</v>
      </c>
      <c r="C25" t="s">
        <v>63</v>
      </c>
      <c r="D25" s="10">
        <v>23</v>
      </c>
      <c r="E25" s="10">
        <f>2+4+3+1+0+3+2+1+1+2+0+3+0+1+3+2+4+2+5+4+1+2+2</f>
        <v>48</v>
      </c>
      <c r="F25" s="10">
        <f>0+2+0+0+0+3+1+0+0+2+0+0+0+0+1+2+1+0+1+0+1+0+1</f>
        <v>15</v>
      </c>
      <c r="G25" s="10">
        <f>0+0+0+0+0+0+0+0+0+0+0+0+0+0+0+1+0+0+0+1+2+1+0</f>
        <v>5</v>
      </c>
      <c r="H25" s="10">
        <f t="shared" ref="H25:H29" si="7">F25+G25</f>
        <v>20</v>
      </c>
      <c r="I25" s="44">
        <f t="shared" si="1"/>
        <v>0.3125</v>
      </c>
      <c r="J25" s="10">
        <f>4+8+10+6+2+5+7+2+5+13+10+6+5+7+7+11+11+7+5+3+9+9+3</f>
        <v>155</v>
      </c>
      <c r="K25" s="10">
        <f>3</f>
        <v>3</v>
      </c>
      <c r="L25" s="10">
        <f>2</f>
        <v>2</v>
      </c>
      <c r="M25" s="26">
        <f>L25/K25</f>
        <v>0.66666666666666663</v>
      </c>
      <c r="N25" s="10">
        <f>0+1+2+1+1+1+1+1+1+2+1+2+1+0+0+1+2+3+0+1+1+0+3</f>
        <v>26</v>
      </c>
      <c r="O25" s="27">
        <f>0+1+2+1+1+0.5+1+1+1+2+1+1.5+1+0+0+1+1.5+3+0+1+0.5+0+2.5</f>
        <v>23.5</v>
      </c>
      <c r="P25" s="10">
        <f>0+1+1+1+2+0+1+1+1+3+4+1+0+1+0+1+0+1+2+1+0+2+0</f>
        <v>24</v>
      </c>
      <c r="Q25" s="10">
        <f>2+3+5+3+0+2+3+3+3+4+3+4+3+3+1+3+5+4+2+2+8+4+4</f>
        <v>74</v>
      </c>
      <c r="R25" s="37">
        <f t="shared" si="2"/>
        <v>4.9800000000000004</v>
      </c>
      <c r="S25" s="37">
        <f t="shared" si="0"/>
        <v>8.6521739130434785</v>
      </c>
      <c r="T25" s="55">
        <v>1</v>
      </c>
    </row>
    <row r="26" spans="1:23" x14ac:dyDescent="0.2">
      <c r="A26" s="10">
        <v>12</v>
      </c>
      <c r="B26" s="10" t="s">
        <v>58</v>
      </c>
      <c r="C26" t="s">
        <v>95</v>
      </c>
      <c r="D26" s="10">
        <v>7</v>
      </c>
      <c r="E26" s="10">
        <f t="shared" ref="E26:G30" si="8">0+0+0+0+0+0+0+0+0+0+0+0+0+0+0+0+0+0+0+0+0+0+0</f>
        <v>0</v>
      </c>
      <c r="F26" s="10">
        <f t="shared" si="8"/>
        <v>0</v>
      </c>
      <c r="G26" s="10">
        <f t="shared" si="8"/>
        <v>0</v>
      </c>
      <c r="H26" s="10">
        <f t="shared" si="7"/>
        <v>0</v>
      </c>
      <c r="I26" s="44" t="e">
        <f t="shared" si="1"/>
        <v>#DIV/0!</v>
      </c>
      <c r="J26" s="10">
        <f>1+0+0+0+0+0+0+0+0+2+0+0+0+0+1+0+0+0+0+0+0+0+0</f>
        <v>4</v>
      </c>
      <c r="K26" s="10"/>
      <c r="L26" s="10"/>
      <c r="M26" s="44"/>
      <c r="N26" s="10">
        <f>0+0+0+0+0+0+0+0+0+0+0+0+0+0+0+0+0+0+0+0+0+0+0</f>
        <v>0</v>
      </c>
      <c r="O26" s="27">
        <f>0+0+0+0+0+0+0+0+0+0+0+0+0+0+0+0+0+0+0+0+0+0+0</f>
        <v>0</v>
      </c>
      <c r="P26" s="10">
        <f>0+0+0+0+0+0+0+0+0+1+0+0+0+0+0+0+0+0+0+0+0+0+0</f>
        <v>1</v>
      </c>
      <c r="Q26" s="10">
        <f>0+0+0+0+0+0+0+0+0+0+0+0+0+0+0+0+0+0+0+0+0+0+0</f>
        <v>0</v>
      </c>
      <c r="R26" s="37">
        <f t="shared" si="2"/>
        <v>4</v>
      </c>
      <c r="S26" s="37">
        <f t="shared" si="0"/>
        <v>0.42857142857142855</v>
      </c>
      <c r="T26" s="56">
        <v>6</v>
      </c>
    </row>
    <row r="27" spans="1:23" x14ac:dyDescent="0.2">
      <c r="A27" s="10">
        <v>8</v>
      </c>
      <c r="B27" s="10" t="s">
        <v>58</v>
      </c>
      <c r="C27" t="s">
        <v>76</v>
      </c>
      <c r="D27" s="10">
        <v>13</v>
      </c>
      <c r="E27" s="10">
        <f t="shared" si="8"/>
        <v>0</v>
      </c>
      <c r="F27" s="10">
        <f t="shared" si="8"/>
        <v>0</v>
      </c>
      <c r="G27" s="10">
        <f t="shared" si="8"/>
        <v>0</v>
      </c>
      <c r="H27" s="10">
        <f t="shared" si="7"/>
        <v>0</v>
      </c>
      <c r="I27" s="26" t="e">
        <f t="shared" si="1"/>
        <v>#DIV/0!</v>
      </c>
      <c r="J27" s="10">
        <f>0+3+6+0+1+0+0+0+0+0+0+0+0+0+0+0+0+1+2+1+2+3+1</f>
        <v>20</v>
      </c>
      <c r="K27" s="10"/>
      <c r="L27" s="10"/>
      <c r="M27" s="26"/>
      <c r="N27" s="10">
        <f>0+0+0+0+0+0+0+0+0+0+0+0+0+0+0+0+1+0+0+0+0+0+0</f>
        <v>1</v>
      </c>
      <c r="O27" s="27">
        <f>0+0+0+0+0+0+0+0+0+0+0+0+0+0+0+0+1+0+0+0+0+0+0</f>
        <v>1</v>
      </c>
      <c r="P27" s="10">
        <f>0+1+2+0+1+0+0+0+0+0+0+0+0+0+0+0+0+0+1+0+0+0+0</f>
        <v>5</v>
      </c>
      <c r="Q27" s="10">
        <f>1+4+3+0+1+0+0+0+0+0+0+0+0+0+0+2+0+2+0+0+4+0+1</f>
        <v>18</v>
      </c>
      <c r="R27" s="37">
        <f>(J27+H29+Q27)/(N27+P27)</f>
        <v>6.333333333333333</v>
      </c>
      <c r="S27" s="37">
        <f>(H29+J27+Q27-N27-P27)/D27</f>
        <v>2.4615384615384617</v>
      </c>
      <c r="T27" s="10">
        <v>2</v>
      </c>
    </row>
    <row r="28" spans="1:23" x14ac:dyDescent="0.2">
      <c r="A28" s="10">
        <v>3</v>
      </c>
      <c r="B28" s="10" t="s">
        <v>37</v>
      </c>
      <c r="C28" t="s">
        <v>103</v>
      </c>
      <c r="D28" s="10">
        <v>4</v>
      </c>
      <c r="E28" s="10">
        <f t="shared" si="8"/>
        <v>0</v>
      </c>
      <c r="F28" s="10">
        <f t="shared" si="8"/>
        <v>0</v>
      </c>
      <c r="G28" s="10">
        <f t="shared" si="8"/>
        <v>0</v>
      </c>
      <c r="H28" s="10">
        <f>F28+G28</f>
        <v>0</v>
      </c>
      <c r="I28" s="26" t="e">
        <f t="shared" si="1"/>
        <v>#DIV/0!</v>
      </c>
      <c r="J28" s="10">
        <f>0+0+0+0+0+0+0+0+0+1+0+0+0+0+1+0+0+0+0+0+0+0+0</f>
        <v>2</v>
      </c>
      <c r="K28" s="10"/>
      <c r="L28" s="10"/>
      <c r="M28" s="26"/>
      <c r="N28" s="10">
        <f>0+0+0+0+0+0+0+0+0+0+0+0+0+0+0+0+0+0+0+0+0+0+0</f>
        <v>0</v>
      </c>
      <c r="O28" s="27">
        <f>0+0+0+0+0+0+0+0+0+0+0+0+0+0+0+0+0+0+0+0+0+0+0</f>
        <v>0</v>
      </c>
      <c r="P28" s="10">
        <f>0+0+0+0+0+0+0+0+0+0+0+0+0+0+1+0+0+0+0+0+0+0+0</f>
        <v>1</v>
      </c>
      <c r="Q28" s="10">
        <f>0+0+0+0+0+0+0+0+0+0+0+0+0+0+0+0+0+0+0+0+0+0+0</f>
        <v>0</v>
      </c>
      <c r="R28" s="37">
        <f>(J28+H30+Q28)/(N28+P28)</f>
        <v>2</v>
      </c>
      <c r="S28" s="37">
        <f>(H30+J28+Q28-N28-P28)/D28</f>
        <v>0.25</v>
      </c>
      <c r="T28" s="10">
        <v>7</v>
      </c>
    </row>
    <row r="29" spans="1:23" x14ac:dyDescent="0.2">
      <c r="A29" s="10">
        <v>5</v>
      </c>
      <c r="B29" s="10" t="s">
        <v>37</v>
      </c>
      <c r="C29" t="s">
        <v>73</v>
      </c>
      <c r="D29" s="10">
        <v>23</v>
      </c>
      <c r="E29" s="10">
        <f t="shared" si="8"/>
        <v>0</v>
      </c>
      <c r="F29" s="10">
        <f t="shared" si="8"/>
        <v>0</v>
      </c>
      <c r="G29" s="10">
        <f t="shared" si="8"/>
        <v>0</v>
      </c>
      <c r="H29" s="10">
        <f t="shared" si="7"/>
        <v>0</v>
      </c>
      <c r="I29" s="26" t="e">
        <f t="shared" si="1"/>
        <v>#DIV/0!</v>
      </c>
      <c r="J29" s="10">
        <f>0+2+1+0+0+1+0+0+0+3+4+1+0+4+0+0+0+0+0+0+1+0+0</f>
        <v>17</v>
      </c>
      <c r="K29" s="10"/>
      <c r="L29" s="10"/>
      <c r="M29" s="26"/>
      <c r="N29" s="10">
        <f>0+0+0+0+0+1+0+0+0+0+0+1+0+0+1+0+0+0+0+0+1+0+0</f>
        <v>4</v>
      </c>
      <c r="O29" s="27">
        <f>0+0+0+0+0+1+0+0+0+0+0+0.5+0+0+1+0+0+0+0+0+1+0+0</f>
        <v>3.5</v>
      </c>
      <c r="P29" s="10">
        <f>0+0+0+0+0+1+0+0+0+0+0+0+0+0+0+0+0+0+0+0+0+0+0</f>
        <v>1</v>
      </c>
      <c r="Q29" s="10">
        <f>0+2+0+0+0+1+1+0+1+1+1+0+0+1+0+1+0+0+0+0+0+0+0</f>
        <v>9</v>
      </c>
      <c r="R29" s="37">
        <f>(J29+H30+Q29)/(N29+P29)</f>
        <v>5.2</v>
      </c>
      <c r="S29" s="37">
        <f>(H30+J29+Q29-N29-P29)/D29</f>
        <v>0.91304347826086951</v>
      </c>
      <c r="T29" s="10">
        <v>4</v>
      </c>
    </row>
    <row r="30" spans="1:23" x14ac:dyDescent="0.2">
      <c r="A30" s="10">
        <v>10</v>
      </c>
      <c r="B30" s="10" t="s">
        <v>37</v>
      </c>
      <c r="C30" t="s">
        <v>93</v>
      </c>
      <c r="D30" s="10">
        <v>21</v>
      </c>
      <c r="E30" s="10">
        <f t="shared" si="8"/>
        <v>0</v>
      </c>
      <c r="F30" s="10">
        <f t="shared" si="8"/>
        <v>0</v>
      </c>
      <c r="G30" s="10">
        <f t="shared" si="8"/>
        <v>0</v>
      </c>
      <c r="H30" s="10">
        <f>F30+G30</f>
        <v>0</v>
      </c>
      <c r="I30" s="26" t="e">
        <f t="shared" si="1"/>
        <v>#DIV/0!</v>
      </c>
      <c r="J30" s="10">
        <f>1+0+1+0+0+1+0+1+0+1+0+0+0+0+0+0+0+0+0+0+0+0+0+0</f>
        <v>5</v>
      </c>
      <c r="K30" s="10"/>
      <c r="L30" s="10"/>
      <c r="M30" s="26"/>
      <c r="N30" s="10">
        <f>0+0+0+0+0+0+0+0+0+0+0+0+0+0+0+0+0+0+0+0+0+0+1</f>
        <v>1</v>
      </c>
      <c r="O30" s="27">
        <f>0+0+0+0+0+0+0+0+0+0+0+0+0+0+0+0+0+0+0+0+0+0+1</f>
        <v>1</v>
      </c>
      <c r="P30" s="10">
        <f>0+0+0+0+0+0+0+0+0+0+0+0+0+0+1+0+0+0+0+0+0+0+0</f>
        <v>1</v>
      </c>
      <c r="Q30" s="10">
        <f>0+0+0+0+0+0+0+0+0+0+0+0+0+0+0+0+0+0+0+0+0+0+0</f>
        <v>0</v>
      </c>
      <c r="R30" s="37">
        <f>(J30+H30+Q30)/(N30+P30)</f>
        <v>2.5</v>
      </c>
      <c r="S30" s="37">
        <f t="shared" ref="S30:S32" si="9">(H30+J30+Q30-N30-P30)/D30</f>
        <v>0.14285714285714285</v>
      </c>
      <c r="T30" s="10">
        <v>9</v>
      </c>
      <c r="V30" s="46">
        <f>(J32+J31+J29+J25+J38)/(J25+J26+J27+J28+J30+J31+J32+J33+J34+J38)</f>
        <v>0.94224924012158051</v>
      </c>
      <c r="W30" t="s">
        <v>136</v>
      </c>
    </row>
    <row r="31" spans="1:23" x14ac:dyDescent="0.2">
      <c r="A31" s="10">
        <v>24</v>
      </c>
      <c r="B31" s="10" t="s">
        <v>37</v>
      </c>
      <c r="C31" t="s">
        <v>68</v>
      </c>
      <c r="D31" s="10">
        <v>20</v>
      </c>
      <c r="E31" s="10">
        <f>0+0+0+0+0+1+0+1+0+0+0+0+0+0+0+0+0+0+0+0+0+0+0</f>
        <v>2</v>
      </c>
      <c r="F31" s="10">
        <f>0+0+0+0+0+0+0+0+0+0+0+0+0+0+0+0+0+0+0+0+0+0+0</f>
        <v>0</v>
      </c>
      <c r="G31" s="10">
        <f>1+0+0+0+0+0+0+0+0+0+0+0+0+0+0+0+0+0+0+0+0+0+0</f>
        <v>1</v>
      </c>
      <c r="H31" s="10">
        <f>F31+G31</f>
        <v>1</v>
      </c>
      <c r="I31" s="26">
        <f t="shared" si="1"/>
        <v>0</v>
      </c>
      <c r="J31" s="10">
        <f>8+4+6+1+0+2+5+2+5+2+1+1+3+3+1+4+1+5+1+4+0+0+2</f>
        <v>61</v>
      </c>
      <c r="K31" s="10">
        <f>1</f>
        <v>1</v>
      </c>
      <c r="L31" s="10">
        <f>0</f>
        <v>0</v>
      </c>
      <c r="M31" s="11">
        <f>L31/K31</f>
        <v>0</v>
      </c>
      <c r="N31" s="10">
        <f>0+0+1+0+0+0+0+2+0+0+0+0+0+1+0+0+0+1+0+1+0+0+1</f>
        <v>7</v>
      </c>
      <c r="O31" s="27">
        <f>0+0+1+0+0+0+0+1.5+0+0+0+0+0+1+0+0+0+1+0+0.5+0+0+1</f>
        <v>6</v>
      </c>
      <c r="P31" s="10">
        <f>0+0+0+0+0+0+0+1+1+1+0+0+1+0+1+0+0+0+0+2+0+0+1</f>
        <v>8</v>
      </c>
      <c r="Q31" s="10">
        <f>1+7+2+0+0+1+0+2+1+0+0+1+1+1+0+1+2+1+0+2+0+0+0</f>
        <v>23</v>
      </c>
      <c r="R31" s="37">
        <f t="shared" si="2"/>
        <v>5.666666666666667</v>
      </c>
      <c r="S31" s="37">
        <f t="shared" si="9"/>
        <v>3.5</v>
      </c>
      <c r="T31" s="10">
        <v>1</v>
      </c>
    </row>
    <row r="32" spans="1:23" x14ac:dyDescent="0.2">
      <c r="A32" s="10">
        <v>25</v>
      </c>
      <c r="B32" s="10" t="s">
        <v>37</v>
      </c>
      <c r="C32" t="s">
        <v>77</v>
      </c>
      <c r="D32" s="10">
        <v>23</v>
      </c>
      <c r="E32" s="10">
        <f>0+0+0+0+0+1+0+0+0+0+0+0+0+0+0+0+0+0+0+0+0+0+0</f>
        <v>1</v>
      </c>
      <c r="F32" s="10">
        <f>0+0+0+0+0+0+0+0+0+0+0+0+0+0+0+0+0+0+0+0+0+0+0</f>
        <v>0</v>
      </c>
      <c r="G32" s="10">
        <f>0+0+0+0+0+0+0+0+0+0+0+0+0+0+0+0+0+0+0+0+0+0</f>
        <v>0</v>
      </c>
      <c r="H32" s="10">
        <f>F32+G32</f>
        <v>0</v>
      </c>
      <c r="I32" s="26">
        <f t="shared" si="1"/>
        <v>0</v>
      </c>
      <c r="J32" s="10">
        <f>2+2+2+2+1+2+4+3+3+2+2+3+1+2+0+3+2+3+3+3+3+0+2</f>
        <v>50</v>
      </c>
      <c r="K32" s="10"/>
      <c r="L32" s="10"/>
      <c r="M32" s="10"/>
      <c r="N32" s="10">
        <f>0+0+0+1+0+0+0+0+0+0+0+1+0+0+0+0+0+0+0+2+2+0+3</f>
        <v>9</v>
      </c>
      <c r="O32" s="27">
        <f>0+0+0+1+0+0+0+0+0+0+0+1+0+0+0+0+0+0+0+2+2+0+2.5</f>
        <v>8.5</v>
      </c>
      <c r="P32" s="10">
        <f>1+0+2+1+1+0+2+0+2+1+3+1+0+2+0+0+1+3+1+1+0+1+3</f>
        <v>26</v>
      </c>
      <c r="Q32" s="10">
        <f>1+1+2+1+0+2+3+3+2+2+2+0+1+2+0+4+1+1+1+3+2+1+1</f>
        <v>36</v>
      </c>
      <c r="R32" s="37">
        <f t="shared" si="2"/>
        <v>2.4571428571428573</v>
      </c>
      <c r="S32" s="37">
        <f t="shared" si="9"/>
        <v>2.2173913043478262</v>
      </c>
      <c r="T32" s="10">
        <v>3</v>
      </c>
    </row>
    <row r="33" spans="1:20" x14ac:dyDescent="0.2">
      <c r="A33" s="10">
        <v>33</v>
      </c>
      <c r="B33" s="10" t="s">
        <v>37</v>
      </c>
      <c r="C33" t="s">
        <v>104</v>
      </c>
      <c r="D33" s="10">
        <v>9</v>
      </c>
      <c r="E33" s="10">
        <f>0+0+0+0+0+0+0+0+0+0+0+0+0+0+0+0+0+0+0+0+0+0+0</f>
        <v>0</v>
      </c>
      <c r="F33" s="10">
        <f>0+0+0+0+0+0+0+0+0+0+0+0+0+0+0+0+0+0+0+0+0+0+0</f>
        <v>0</v>
      </c>
      <c r="G33" s="10">
        <f>0+0+0+0+0+0+0+0+0+0+0+0+0+0+0+0+0+0+0+0+0+0+0</f>
        <v>0</v>
      </c>
      <c r="H33" s="10">
        <f>F33+G33</f>
        <v>0</v>
      </c>
      <c r="I33" s="26" t="e">
        <f t="shared" ref="I33:I34" si="10">F33/E33</f>
        <v>#DIV/0!</v>
      </c>
      <c r="J33" s="10">
        <f>0+0+0+0+0+0+0+0+0+0+0+0+0+0+1+0+0+0+0+0+1+0+0</f>
        <v>2</v>
      </c>
      <c r="K33" s="10"/>
      <c r="L33" s="10"/>
      <c r="M33" s="10"/>
      <c r="N33" s="10">
        <f>1+0+0+0+0+0+1+0+0+0+0+0+0+0+0+0+0+0+0+0+0+0+0+0</f>
        <v>2</v>
      </c>
      <c r="O33" s="27">
        <f>1+0+0+0+0+0+1+0+0+0+0+0+0+0+0+0+0+0+0+0+0+0+0+0</f>
        <v>2</v>
      </c>
      <c r="P33" s="10">
        <f>0+0+0+0+0+0+0+0+0+0+0+0+0+0+1+0+0+0+0+0+0+0+0</f>
        <v>1</v>
      </c>
      <c r="Q33" s="10">
        <f>1+0+0+0+0+0+0+0+0+0+0+0+0+0+2+0+0+0+0+0+0+0+0</f>
        <v>3</v>
      </c>
      <c r="R33" s="37">
        <f t="shared" ref="R33:R34" si="11">(J33+H33+Q33)/(N33+P33)</f>
        <v>1.6666666666666667</v>
      </c>
      <c r="S33" s="37">
        <f t="shared" ref="S33:S34" si="12">(H33+J33+Q33-N33-P33)/D33</f>
        <v>0.22222222222222221</v>
      </c>
      <c r="T33" s="10">
        <v>8</v>
      </c>
    </row>
    <row r="34" spans="1:20" x14ac:dyDescent="0.2">
      <c r="A34" s="10">
        <v>34</v>
      </c>
      <c r="B34" s="10" t="s">
        <v>37</v>
      </c>
      <c r="C34" t="s">
        <v>105</v>
      </c>
      <c r="D34" s="10">
        <v>6</v>
      </c>
      <c r="E34" s="10">
        <f>0+0+0+0+0+0+0+0+0+0+0+0+0+0+0+0+0+0+0+0+0+0+0</f>
        <v>0</v>
      </c>
      <c r="F34" s="10">
        <f>0+0+0+0+0+0+0+0+0+0+0+0+0+0+0+0+0+0+0+0+0+0+0</f>
        <v>0</v>
      </c>
      <c r="G34" s="10">
        <f>0+0+0+0+0+0+0+0+0+0+0+0+0+0+0+0+0+0+0+0+0+0+0</f>
        <v>0</v>
      </c>
      <c r="H34" s="10">
        <f>F34+G34</f>
        <v>0</v>
      </c>
      <c r="I34" s="26" t="e">
        <f t="shared" si="10"/>
        <v>#DIV/0!</v>
      </c>
      <c r="J34" s="10">
        <f>1+0+0+0+0+0+0+0+0+0+0+0+0+0+1+0+0+0+0+0+1+0+0</f>
        <v>3</v>
      </c>
      <c r="K34" s="10"/>
      <c r="L34" s="10"/>
      <c r="M34" s="26"/>
      <c r="N34" s="10">
        <f>0+0+0+0+0+0+0+0+0+0+0+0+0+0+0+0+0+0+0+0+0+0+0</f>
        <v>0</v>
      </c>
      <c r="O34" s="27">
        <f>0+0+0+0+0+0+0+0+0+0+0+0+0+0+0+0+0+0+0+0+0+0+0</f>
        <v>0</v>
      </c>
      <c r="P34" s="10">
        <f>0+0+0+0+0+0+0+0+0+0+0+0+0+0+1+0+0+0+0+0+1+0+0</f>
        <v>2</v>
      </c>
      <c r="Q34" s="10">
        <f>1+0+0+0+0+0+0+0+0+0+0+0+0+0+1+2+0+0+0+0+0+0+0</f>
        <v>4</v>
      </c>
      <c r="R34" s="37">
        <f t="shared" si="11"/>
        <v>3.5</v>
      </c>
      <c r="S34" s="37">
        <f t="shared" si="12"/>
        <v>0.83333333333333337</v>
      </c>
      <c r="T34" s="10">
        <v>5</v>
      </c>
    </row>
    <row r="35" spans="1:20" x14ac:dyDescent="0.2">
      <c r="D35" s="10"/>
      <c r="E35" s="10"/>
      <c r="F35" s="10"/>
      <c r="G35" s="10"/>
      <c r="H35" s="10"/>
      <c r="I35" s="26"/>
      <c r="J35" s="10"/>
      <c r="K35" s="10"/>
      <c r="L35" s="10"/>
      <c r="M35" s="10"/>
      <c r="N35" s="10"/>
      <c r="O35" s="27"/>
      <c r="R35" s="27"/>
      <c r="S35" s="27"/>
    </row>
    <row r="36" spans="1:20" x14ac:dyDescent="0.2"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27"/>
      <c r="R36" s="27"/>
    </row>
    <row r="37" spans="1:20" x14ac:dyDescent="0.2">
      <c r="D37" s="10"/>
      <c r="E37" s="10"/>
      <c r="F37" s="10"/>
      <c r="G37" s="10"/>
      <c r="H37" s="10"/>
      <c r="I37" s="26"/>
      <c r="J37" s="10"/>
      <c r="K37" s="10"/>
      <c r="L37" s="10"/>
      <c r="M37" s="10"/>
      <c r="N37" s="10"/>
      <c r="O37" s="33"/>
      <c r="R37" s="27"/>
      <c r="S37" s="27"/>
    </row>
    <row r="38" spans="1:20" x14ac:dyDescent="0.2">
      <c r="A38" s="10">
        <v>31</v>
      </c>
      <c r="B38" s="10" t="s">
        <v>38</v>
      </c>
      <c r="C38" t="s">
        <v>69</v>
      </c>
      <c r="D38" s="10">
        <v>23</v>
      </c>
      <c r="E38" s="10">
        <f>0+0+0+0+1+0+0+0+0+0+0+0+0+0+0+0+0+0+0+0+0+0+0</f>
        <v>1</v>
      </c>
      <c r="F38" s="10">
        <f>0+0+0+0+0+0+0+0+0+0+0+0+0+0+0+0+0+0+0+0+0+0+0</f>
        <v>0</v>
      </c>
      <c r="G38" s="10">
        <f>0+0+0+0+0+0+0+0+0+0+0+0+0+0+0+0+0+0+0+0+0+0+0</f>
        <v>0</v>
      </c>
      <c r="H38" s="10">
        <f>F38+G38</f>
        <v>0</v>
      </c>
      <c r="I38" s="26">
        <f t="shared" ref="I38:I39" si="13">F38/E38</f>
        <v>0</v>
      </c>
      <c r="J38" s="10">
        <f>1+1+0+0+0+1+3+1+2+1+1+4+1+0+2+0+2+1+0+1+2+3+0</f>
        <v>27</v>
      </c>
      <c r="K38" s="10"/>
      <c r="L38" s="10"/>
      <c r="M38" s="10"/>
      <c r="N38" s="10">
        <f>0+0+0+1+0+0+0+0+0+0+0+0+0+0+0+0+0+0+0+0+0+0+0</f>
        <v>1</v>
      </c>
      <c r="O38" s="33">
        <f>0+0+0+2+0+0+0+0+0+0+0+0+0+0+0+0+0+0+0+0+0+0+0</f>
        <v>2</v>
      </c>
      <c r="P38" s="10">
        <f>0+2+2+1+0+0+1+2+2+0+1+0+1+1+1+1+2+3+1+2+1+1+3</f>
        <v>28</v>
      </c>
      <c r="Q38" s="10">
        <f>1+0+0+0+0+1+0+1+1+0+0+0+0+0+0+0+0+0+0+1+0+0+0</f>
        <v>5</v>
      </c>
      <c r="R38" s="37">
        <f>(J38+H38+Q38)+(F49/3)/(N38+P38)</f>
        <v>34.356321839080458</v>
      </c>
      <c r="S38" s="37">
        <f>((H38+J38+Q38-N38-P38)+(F49/3))/D38</f>
        <v>3.1014492753623188</v>
      </c>
      <c r="T38" s="41">
        <v>1</v>
      </c>
    </row>
    <row r="39" spans="1:20" x14ac:dyDescent="0.2">
      <c r="A39" s="10">
        <v>21</v>
      </c>
      <c r="B39" s="10" t="s">
        <v>38</v>
      </c>
      <c r="C39" t="s">
        <v>106</v>
      </c>
      <c r="D39" s="10">
        <v>4</v>
      </c>
      <c r="E39" s="10">
        <f>0+0+0+0+0+0+0+0+0+0+0+0+0+0+0+0+0+0+0+0+0+0+0</f>
        <v>0</v>
      </c>
      <c r="F39" s="10">
        <f>0+0+0+0+0+0+0+0+0+0+0+0+0+0+0+0+0+0+0+0+0+0+0</f>
        <v>0</v>
      </c>
      <c r="G39" s="10">
        <f>0+0+0+0+0+0+0+0+0+0+0+0+0+0+0+0+0+0+0+0+0+0+0</f>
        <v>0</v>
      </c>
      <c r="H39" s="10">
        <f>F39+G39</f>
        <v>0</v>
      </c>
      <c r="I39" s="26" t="e">
        <f t="shared" si="13"/>
        <v>#DIV/0!</v>
      </c>
      <c r="J39" s="10">
        <f>0+0+0+0+0+0+0+0+0+0+0+0+0+0+0+0+0+0+0+0+0+0+0</f>
        <v>0</v>
      </c>
      <c r="K39" s="10"/>
      <c r="L39" s="10"/>
      <c r="N39" s="10">
        <f>0+0+0+0+0+0+0+0+0+0+0+0+0+0+0+0+0+0+0+0+0+0+0</f>
        <v>0</v>
      </c>
      <c r="O39" s="27">
        <f>0+0+0+0+0+0+0+0+0+0+0+0+0+0+0+0+0+0+0+0+0+0+0</f>
        <v>0</v>
      </c>
      <c r="P39" s="10">
        <f>0+0+0+0+0+0+0+0+0+0+0+0+0+0+0+0+0+0+0+0+1+0+0</f>
        <v>1</v>
      </c>
      <c r="Q39" s="10">
        <f>0+0+0+0+0+0+0+0+0+0+0+0+0+0+0+0+0+0+0+0+0+0+0</f>
        <v>0</v>
      </c>
      <c r="R39" s="37">
        <f>(J39+H39+Q39)+(F50/3)/(N39+P39)</f>
        <v>1.3333333333333333</v>
      </c>
      <c r="S39" s="37">
        <f>((H39+J39+Q39-N39-P39)+(F50/3))/D39</f>
        <v>8.3333333333333315E-2</v>
      </c>
      <c r="T39" s="42">
        <v>2</v>
      </c>
    </row>
    <row r="40" spans="1:20" x14ac:dyDescent="0.2"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27"/>
    </row>
    <row r="41" spans="1:20" x14ac:dyDescent="0.2">
      <c r="A41" s="10" t="s">
        <v>90</v>
      </c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33"/>
      <c r="P41" s="33"/>
      <c r="Q41" s="33"/>
      <c r="S41" s="27"/>
    </row>
    <row r="42" spans="1:20" x14ac:dyDescent="0.2">
      <c r="D42" s="10"/>
      <c r="E42" s="10"/>
      <c r="F42" s="10"/>
      <c r="G42" s="10"/>
      <c r="H42" s="10"/>
      <c r="I42" s="10"/>
      <c r="J42" s="10"/>
      <c r="K42" s="10"/>
      <c r="L42" s="10"/>
      <c r="N42" s="10"/>
      <c r="O42" s="10"/>
    </row>
    <row r="43" spans="1:20" x14ac:dyDescent="0.2"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</row>
    <row r="44" spans="1:20" x14ac:dyDescent="0.2"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</row>
    <row r="45" spans="1:20" x14ac:dyDescent="0.2">
      <c r="D45" s="10"/>
      <c r="E45" s="10"/>
      <c r="F45" s="10"/>
      <c r="G45" s="10"/>
      <c r="H45" s="10"/>
      <c r="I45" s="10"/>
      <c r="J45" s="10"/>
      <c r="K45" s="15"/>
      <c r="L45" s="15"/>
      <c r="M45" s="15"/>
      <c r="N45" s="10"/>
      <c r="O45" s="10"/>
      <c r="P45" s="15"/>
      <c r="Q45" s="15"/>
    </row>
    <row r="46" spans="1:20" x14ac:dyDescent="0.2">
      <c r="C46" s="12" t="s">
        <v>30</v>
      </c>
      <c r="D46" s="10"/>
      <c r="E46" s="13">
        <f>SUM(E3:E45)</f>
        <v>910</v>
      </c>
      <c r="F46" s="13">
        <f>SUM(F3:F45)</f>
        <v>275</v>
      </c>
      <c r="G46" s="13">
        <f>SUM(G3:G45)</f>
        <v>173</v>
      </c>
      <c r="H46" s="10"/>
      <c r="I46" s="38">
        <f t="shared" ref="I46" si="14">F46/E46</f>
        <v>0.30219780219780218</v>
      </c>
      <c r="J46" s="13">
        <f>SUM(J3:J45)</f>
        <v>933</v>
      </c>
      <c r="K46" s="10">
        <f>SUM(K3:K45)</f>
        <v>523</v>
      </c>
      <c r="L46" s="10">
        <f>SUM(L3:L45)</f>
        <v>385</v>
      </c>
      <c r="M46" s="26">
        <f>L46/K46</f>
        <v>0.73613766730401531</v>
      </c>
      <c r="N46" s="13">
        <f>SUM(N3:N45)</f>
        <v>100</v>
      </c>
      <c r="O46" s="13">
        <f>SUM(O3:O45)</f>
        <v>96</v>
      </c>
      <c r="P46" s="10">
        <f>SUM(P3:P45)</f>
        <v>380</v>
      </c>
      <c r="Q46" s="10">
        <f>SUM(Q3:Q45)</f>
        <v>251</v>
      </c>
    </row>
    <row r="47" spans="1:20" x14ac:dyDescent="0.2">
      <c r="N47" s="10">
        <f>N46/D54</f>
        <v>4.3478260869565215</v>
      </c>
      <c r="P47" s="10">
        <f>P46/D54</f>
        <v>16.521739130434781</v>
      </c>
      <c r="Q47" s="10">
        <f>Q46/D54</f>
        <v>10.913043478260869</v>
      </c>
    </row>
    <row r="48" spans="1:20" ht="39" x14ac:dyDescent="0.2">
      <c r="C48" s="2"/>
      <c r="D48" s="3" t="s">
        <v>10</v>
      </c>
      <c r="E48" s="3" t="s">
        <v>56</v>
      </c>
      <c r="F48" s="3" t="s">
        <v>11</v>
      </c>
      <c r="G48" s="29" t="s">
        <v>53</v>
      </c>
      <c r="H48" s="3" t="s">
        <v>57</v>
      </c>
      <c r="I48" s="3"/>
    </row>
    <row r="49" spans="3:15" x14ac:dyDescent="0.2">
      <c r="C49" s="16" t="s">
        <v>69</v>
      </c>
      <c r="D49" s="5">
        <v>23</v>
      </c>
      <c r="E49" s="5">
        <f>4+12+6+18+29+8+27+12+22+15+20+19+15+16+11+13+12+18+24+22+19+16+19</f>
        <v>377</v>
      </c>
      <c r="F49" s="5">
        <f>3+6+4+8+11+7+12+8+13+11+11+11+1+8+7+9+6+15+12+13+13+6+10</f>
        <v>205</v>
      </c>
      <c r="G49" s="32">
        <f>F49/D38</f>
        <v>8.9130434782608692</v>
      </c>
      <c r="H49" s="26">
        <f>F49/E49</f>
        <v>0.54376657824933683</v>
      </c>
      <c r="I49" s="5"/>
      <c r="M49" s="19" t="s">
        <v>40</v>
      </c>
      <c r="N49" s="19" t="s">
        <v>41</v>
      </c>
    </row>
    <row r="50" spans="3:15" x14ac:dyDescent="0.2">
      <c r="C50" t="s">
        <v>106</v>
      </c>
      <c r="D50" s="5"/>
      <c r="E50" s="5">
        <f>0+0+2+1+3+1</f>
        <v>7</v>
      </c>
      <c r="F50" s="5">
        <f>0+0+1+0+3+0</f>
        <v>4</v>
      </c>
      <c r="G50" s="32">
        <f>F50/D39</f>
        <v>1</v>
      </c>
      <c r="H50" s="26">
        <f>F50/E50</f>
        <v>0.5714285714285714</v>
      </c>
      <c r="I50" s="5"/>
      <c r="K50" s="12" t="s">
        <v>31</v>
      </c>
      <c r="M50" s="10">
        <f>8+4+2+6+6+3+8+4+6+5+7+6+8+2+3+3+2+4+6+6+10+9+8</f>
        <v>126</v>
      </c>
      <c r="N50" s="10">
        <f>8+3+1.5+6+5+4+8.5+4+5+5+6.5+3.5+7.5+2+2.5+2.5+1.5+3.5+4.5+4.5+12.5+10.5+8.5</f>
        <v>120</v>
      </c>
      <c r="O50" s="14"/>
    </row>
    <row r="51" spans="3:15" x14ac:dyDescent="0.2">
      <c r="C51" t="s">
        <v>115</v>
      </c>
      <c r="E51" s="10">
        <v>1</v>
      </c>
      <c r="F51" s="10">
        <v>1</v>
      </c>
      <c r="G51" s="32">
        <f>F51/D30</f>
        <v>4.7619047619047616E-2</v>
      </c>
      <c r="H51" s="26">
        <f>F51/E51</f>
        <v>1</v>
      </c>
      <c r="M51">
        <f>M50/D54</f>
        <v>5.4782608695652177</v>
      </c>
    </row>
    <row r="52" spans="3:15" x14ac:dyDescent="0.2">
      <c r="C52" s="16"/>
      <c r="D52" s="5"/>
      <c r="E52" s="5"/>
      <c r="F52" s="5"/>
      <c r="G52" s="32"/>
      <c r="H52" s="11"/>
      <c r="I52" s="5"/>
    </row>
    <row r="53" spans="3:15" x14ac:dyDescent="0.2">
      <c r="C53" s="6" t="s">
        <v>19</v>
      </c>
      <c r="D53" s="3" t="s">
        <v>29</v>
      </c>
      <c r="E53" s="3" t="s">
        <v>20</v>
      </c>
      <c r="F53" s="3" t="s">
        <v>21</v>
      </c>
      <c r="G53" s="17" t="s">
        <v>39</v>
      </c>
      <c r="I53" s="3"/>
      <c r="M53" s="12"/>
    </row>
    <row r="54" spans="3:15" x14ac:dyDescent="0.2">
      <c r="C54" s="4"/>
      <c r="D54" s="5">
        <v>23</v>
      </c>
      <c r="E54" s="5">
        <f>14+14+9+9+5+12+17+18+16+14+11+20+9+14+12+16+13+16+18+25+20+13+10</f>
        <v>325</v>
      </c>
      <c r="F54" s="5">
        <f>0+2+4+3+4+0+2+2+6+3+6+0+1+4+6+1+2+3+4+4+2+3+7</f>
        <v>69</v>
      </c>
      <c r="G54" s="36">
        <f>E54/(F54+E54)</f>
        <v>0.82487309644670048</v>
      </c>
      <c r="I54" s="5"/>
      <c r="K54" s="12"/>
      <c r="M54" s="27"/>
    </row>
    <row r="55" spans="3:15" x14ac:dyDescent="0.2">
      <c r="C55" s="4"/>
      <c r="D55" s="5"/>
      <c r="E55" s="5"/>
      <c r="F55" s="5"/>
      <c r="G55" s="2"/>
      <c r="I55" s="5"/>
    </row>
    <row r="56" spans="3:15" x14ac:dyDescent="0.2">
      <c r="C56" s="6" t="s">
        <v>27</v>
      </c>
      <c r="D56" s="3" t="s">
        <v>29</v>
      </c>
      <c r="E56" s="3" t="s">
        <v>20</v>
      </c>
      <c r="F56" s="3" t="s">
        <v>21</v>
      </c>
      <c r="G56" s="17" t="s">
        <v>39</v>
      </c>
      <c r="I56" s="3"/>
      <c r="K56" s="12"/>
      <c r="M56" s="27"/>
    </row>
    <row r="57" spans="3:15" x14ac:dyDescent="0.2">
      <c r="C57" s="4"/>
      <c r="D57" s="5">
        <v>23</v>
      </c>
      <c r="E57" s="5">
        <f>6+15+7+13+12+8+16+15+16+11+13+11+18+13+6+12+16+12+11+20+16+14+14</f>
        <v>295</v>
      </c>
      <c r="F57" s="5">
        <f>15+18+12+6+3+6+1+12+9+6+3+7+4+3+8+12+10+7+6+10+7+13+8</f>
        <v>186</v>
      </c>
      <c r="G57" s="36">
        <f>E57/(F57+E57)</f>
        <v>0.61330561330561328</v>
      </c>
      <c r="I57" s="5"/>
    </row>
    <row r="58" spans="3:15" x14ac:dyDescent="0.2">
      <c r="C58" s="4"/>
      <c r="D58" s="5"/>
      <c r="E58" s="5"/>
      <c r="F58" s="5"/>
      <c r="G58" s="2"/>
      <c r="I58" s="5"/>
    </row>
    <row r="59" spans="3:15" x14ac:dyDescent="0.2">
      <c r="C59" s="6" t="s">
        <v>22</v>
      </c>
      <c r="D59" s="3" t="s">
        <v>29</v>
      </c>
      <c r="E59" s="3" t="s">
        <v>23</v>
      </c>
      <c r="F59" s="3" t="s">
        <v>24</v>
      </c>
      <c r="G59" s="17" t="s">
        <v>39</v>
      </c>
      <c r="I59" s="3"/>
      <c r="K59" s="12" t="s">
        <v>50</v>
      </c>
      <c r="M59" s="10">
        <f>26+31+26+15+7+12+13+33+17+14+13+12+9+14+13+27+20+19+11+24+22+13+18</f>
        <v>409</v>
      </c>
    </row>
    <row r="60" spans="3:15" x14ac:dyDescent="0.2">
      <c r="C60" s="4"/>
      <c r="D60" s="5">
        <v>23</v>
      </c>
      <c r="E60" s="5">
        <f>3+1+0+3+2+1+2+2+3+2+4+6+2+2+3+1+2+3+3+5+2+3</f>
        <v>55</v>
      </c>
      <c r="F60" s="5">
        <f>4+3+2+2+4+1+7+2+4+2+2+2+1+0+1+0+1+0+3+2+2+4+5</f>
        <v>54</v>
      </c>
      <c r="G60" s="36">
        <f>E60/(F60+E60)</f>
        <v>0.50458715596330272</v>
      </c>
      <c r="I60" s="5"/>
      <c r="M60">
        <f>M59/D54</f>
        <v>17.782608695652176</v>
      </c>
    </row>
    <row r="61" spans="3:15" x14ac:dyDescent="0.2">
      <c r="C61" s="4"/>
      <c r="D61" s="5"/>
      <c r="E61" s="5"/>
      <c r="F61" s="5"/>
      <c r="G61" s="2"/>
      <c r="I61" s="5"/>
      <c r="K61" s="24" t="s">
        <v>51</v>
      </c>
      <c r="L61" s="10">
        <f>38+40+26+26+9+35+23+37+24+29+19+28+26+17+24+31+18+13+14+22+23+28+15</f>
        <v>565</v>
      </c>
    </row>
    <row r="62" spans="3:15" x14ac:dyDescent="0.2">
      <c r="C62" s="6" t="s">
        <v>25</v>
      </c>
      <c r="D62" s="3" t="s">
        <v>29</v>
      </c>
      <c r="E62" s="3" t="s">
        <v>23</v>
      </c>
      <c r="F62" s="3" t="s">
        <v>24</v>
      </c>
      <c r="G62" s="17" t="s">
        <v>39</v>
      </c>
      <c r="I62" s="3"/>
      <c r="M62">
        <f>L61/D63</f>
        <v>24.565217391304348</v>
      </c>
      <c r="O62" s="58">
        <f>L61/E46</f>
        <v>0.62087912087912089</v>
      </c>
    </row>
    <row r="63" spans="3:15" x14ac:dyDescent="0.2">
      <c r="C63" s="4"/>
      <c r="D63" s="5">
        <v>23</v>
      </c>
      <c r="E63" s="5">
        <f>0+2+1+3+1+0+1+3+1+0+2+1+1+1+0+1+0+1+0+0+2+2+4</f>
        <v>27</v>
      </c>
      <c r="F63" s="5">
        <f>3+2+3+2+1+7+4+2+3+3+1+5+1+0+2+1+2+6+2+6+4+1+6</f>
        <v>67</v>
      </c>
      <c r="G63" s="36">
        <f>E63/(F63+E63)</f>
        <v>0.28723404255319152</v>
      </c>
      <c r="I63" s="5"/>
      <c r="K63" s="24" t="s">
        <v>52</v>
      </c>
      <c r="L63" s="10">
        <f>4+12+8+19+29+8+27+12+22+15+20+19+15+16+15+13+12+18+24+22+19+16+19</f>
        <v>384</v>
      </c>
    </row>
    <row r="64" spans="3:15" x14ac:dyDescent="0.2">
      <c r="C64" s="4"/>
      <c r="D64" s="5"/>
      <c r="E64" s="5"/>
      <c r="F64" s="5"/>
      <c r="G64" s="2"/>
      <c r="I64" s="5"/>
    </row>
    <row r="65" spans="1:9" x14ac:dyDescent="0.2">
      <c r="C65" s="2"/>
      <c r="D65" s="2"/>
      <c r="E65" s="2"/>
      <c r="F65" s="2"/>
      <c r="G65" s="2"/>
      <c r="I65" s="2"/>
    </row>
    <row r="66" spans="1:9" x14ac:dyDescent="0.2">
      <c r="C66" s="6" t="s">
        <v>12</v>
      </c>
      <c r="D66" s="3" t="s">
        <v>13</v>
      </c>
      <c r="E66" s="3"/>
      <c r="F66" s="3" t="s">
        <v>14</v>
      </c>
      <c r="G66" s="2"/>
      <c r="I66" s="9"/>
    </row>
    <row r="67" spans="1:9" x14ac:dyDescent="0.2">
      <c r="C67" s="6" t="s">
        <v>15</v>
      </c>
      <c r="D67" s="7">
        <f>15+16+17+14+3+23+9+12+10+20+12+13+12+7+18+16+7+4+6+8+14+11+8</f>
        <v>275</v>
      </c>
      <c r="E67" s="7"/>
      <c r="F67" s="7">
        <f>1+6+3+11+18+1+15+4+9+4+9+8+14+8+4+4+6+3+12+9+6+10+9</f>
        <v>174</v>
      </c>
      <c r="G67" s="2"/>
      <c r="I67" s="9"/>
    </row>
    <row r="68" spans="1:9" x14ac:dyDescent="0.2">
      <c r="C68" s="6" t="s">
        <v>16</v>
      </c>
      <c r="D68" s="8">
        <f>D67/D63</f>
        <v>11.956521739130435</v>
      </c>
      <c r="E68" s="8"/>
      <c r="F68" s="8">
        <f>F67/D63</f>
        <v>7.5652173913043477</v>
      </c>
      <c r="G68" s="2"/>
      <c r="I68" s="8"/>
    </row>
    <row r="69" spans="1:9" x14ac:dyDescent="0.2">
      <c r="C69" s="6" t="s">
        <v>17</v>
      </c>
      <c r="D69" s="9" t="s">
        <v>126</v>
      </c>
      <c r="E69" s="9"/>
      <c r="F69" s="9" t="s">
        <v>129</v>
      </c>
      <c r="G69" s="9" t="s">
        <v>18</v>
      </c>
      <c r="I69" s="9"/>
    </row>
    <row r="74" spans="1:9" x14ac:dyDescent="0.2">
      <c r="C74" s="18" t="s">
        <v>42</v>
      </c>
      <c r="D74" s="19" t="s">
        <v>44</v>
      </c>
      <c r="E74" s="19" t="s">
        <v>45</v>
      </c>
      <c r="F74" s="19" t="s">
        <v>46</v>
      </c>
      <c r="G74" s="19" t="s">
        <v>47</v>
      </c>
      <c r="H74" s="19" t="s">
        <v>48</v>
      </c>
      <c r="I74" s="19"/>
    </row>
    <row r="75" spans="1:9" x14ac:dyDescent="0.2">
      <c r="H75" s="12"/>
    </row>
    <row r="76" spans="1:9" x14ac:dyDescent="0.2">
      <c r="A76" s="20">
        <v>45349</v>
      </c>
      <c r="C76" s="12" t="s">
        <v>43</v>
      </c>
      <c r="D76" s="10">
        <v>4</v>
      </c>
      <c r="E76" s="10">
        <v>8</v>
      </c>
      <c r="F76" s="10">
        <v>2</v>
      </c>
      <c r="G76" s="10">
        <v>1</v>
      </c>
      <c r="H76" s="25">
        <f>SUM(D76:G76)</f>
        <v>15</v>
      </c>
      <c r="I76" s="10"/>
    </row>
    <row r="77" spans="1:9" x14ac:dyDescent="0.2">
      <c r="A77" s="10" t="s">
        <v>60</v>
      </c>
      <c r="C77" s="18" t="s">
        <v>91</v>
      </c>
      <c r="D77" s="10">
        <v>0</v>
      </c>
      <c r="E77" s="10">
        <v>1</v>
      </c>
      <c r="F77" s="10">
        <v>0</v>
      </c>
      <c r="G77" s="10">
        <v>0</v>
      </c>
      <c r="H77" s="25">
        <f>SUM(D77:G77)</f>
        <v>1</v>
      </c>
      <c r="I77" s="10"/>
    </row>
    <row r="78" spans="1:9" x14ac:dyDescent="0.2">
      <c r="B78" s="21" t="s">
        <v>49</v>
      </c>
      <c r="C78" s="12" t="s">
        <v>43</v>
      </c>
      <c r="D78" s="52">
        <v>74.3</v>
      </c>
      <c r="E78" s="52">
        <v>80.599999999999994</v>
      </c>
      <c r="F78" s="52">
        <v>60.8</v>
      </c>
      <c r="G78" s="52">
        <v>74.7</v>
      </c>
      <c r="H78" s="49">
        <v>0.73399999999999999</v>
      </c>
      <c r="I78" s="34"/>
    </row>
    <row r="79" spans="1:9" x14ac:dyDescent="0.2">
      <c r="B79" s="23"/>
      <c r="C79" s="18" t="s">
        <v>91</v>
      </c>
      <c r="D79" s="53">
        <v>25.7</v>
      </c>
      <c r="E79" s="53">
        <v>19.399999999999999</v>
      </c>
      <c r="F79" s="53">
        <v>39.200000000000003</v>
      </c>
      <c r="G79" s="53">
        <v>25.3</v>
      </c>
      <c r="H79" s="50">
        <v>0.26600000000000001</v>
      </c>
      <c r="I79" s="35"/>
    </row>
    <row r="80" spans="1:9" x14ac:dyDescent="0.2">
      <c r="H80" s="12"/>
    </row>
    <row r="81" spans="1:11" x14ac:dyDescent="0.2">
      <c r="A81" s="20">
        <v>45356</v>
      </c>
      <c r="C81" s="12" t="s">
        <v>43</v>
      </c>
      <c r="D81" s="10">
        <v>1</v>
      </c>
      <c r="E81" s="10">
        <v>7</v>
      </c>
      <c r="F81" s="10">
        <v>3</v>
      </c>
      <c r="G81" s="10">
        <v>5</v>
      </c>
      <c r="H81" s="25">
        <f>SUM(D81:G81)+J86+K86</f>
        <v>16</v>
      </c>
      <c r="I81" s="10"/>
    </row>
    <row r="82" spans="1:11" x14ac:dyDescent="0.2">
      <c r="A82" s="10" t="s">
        <v>59</v>
      </c>
      <c r="C82" s="12" t="s">
        <v>107</v>
      </c>
      <c r="D82" s="10">
        <v>0</v>
      </c>
      <c r="E82" s="10">
        <v>3</v>
      </c>
      <c r="F82" s="10">
        <v>0</v>
      </c>
      <c r="G82" s="10">
        <v>3</v>
      </c>
      <c r="H82" s="25">
        <f>SUM(D82:G82)+J87+K87</f>
        <v>6</v>
      </c>
      <c r="I82" s="10"/>
    </row>
    <row r="83" spans="1:11" x14ac:dyDescent="0.2">
      <c r="B83" s="21" t="s">
        <v>49</v>
      </c>
      <c r="C83" s="22" t="s">
        <v>43</v>
      </c>
      <c r="D83" s="13">
        <v>55.6</v>
      </c>
      <c r="E83" s="13">
        <v>61.1</v>
      </c>
      <c r="F83" s="13">
        <v>75.2</v>
      </c>
      <c r="G83" s="13">
        <v>60.1</v>
      </c>
      <c r="H83" s="49">
        <v>0.628</v>
      </c>
      <c r="I83" s="13"/>
    </row>
    <row r="84" spans="1:11" x14ac:dyDescent="0.2">
      <c r="B84" s="23"/>
      <c r="C84" s="48" t="s">
        <v>107</v>
      </c>
      <c r="D84" s="15">
        <v>44.4</v>
      </c>
      <c r="E84" s="15">
        <v>38.9</v>
      </c>
      <c r="F84" s="15">
        <v>24.8</v>
      </c>
      <c r="G84" s="15">
        <v>39.9</v>
      </c>
      <c r="H84" s="50">
        <v>0.372</v>
      </c>
      <c r="I84" s="15"/>
    </row>
    <row r="85" spans="1:11" x14ac:dyDescent="0.2">
      <c r="H85" s="12"/>
      <c r="J85" s="10"/>
      <c r="K85" s="10"/>
    </row>
    <row r="86" spans="1:11" x14ac:dyDescent="0.2">
      <c r="A86" s="20">
        <v>45359</v>
      </c>
      <c r="C86" s="12" t="s">
        <v>43</v>
      </c>
      <c r="D86" s="10">
        <v>4</v>
      </c>
      <c r="E86" s="10">
        <v>8</v>
      </c>
      <c r="F86" s="10">
        <v>3</v>
      </c>
      <c r="G86" s="10">
        <v>2</v>
      </c>
      <c r="H86" s="25">
        <f>SUM(D86:G86)</f>
        <v>17</v>
      </c>
      <c r="I86" s="10"/>
      <c r="J86" s="10"/>
      <c r="K86" s="10"/>
    </row>
    <row r="87" spans="1:11" x14ac:dyDescent="0.2">
      <c r="A87" s="10" t="s">
        <v>60</v>
      </c>
      <c r="C87" s="12" t="s">
        <v>108</v>
      </c>
      <c r="D87" s="10">
        <v>0</v>
      </c>
      <c r="E87" s="10">
        <v>1</v>
      </c>
      <c r="F87" s="10">
        <v>1</v>
      </c>
      <c r="G87" s="10">
        <v>1</v>
      </c>
      <c r="H87" s="25">
        <f>SUM(D87:G87)</f>
        <v>3</v>
      </c>
      <c r="I87" s="10"/>
      <c r="J87" s="10"/>
      <c r="K87" s="10"/>
    </row>
    <row r="88" spans="1:11" x14ac:dyDescent="0.2">
      <c r="B88" s="21" t="s">
        <v>49</v>
      </c>
      <c r="C88" s="22" t="s">
        <v>43</v>
      </c>
      <c r="D88" s="13">
        <v>59</v>
      </c>
      <c r="E88" s="13">
        <v>76.599999999999994</v>
      </c>
      <c r="F88" s="13">
        <v>48.9</v>
      </c>
      <c r="G88" s="34">
        <v>74</v>
      </c>
      <c r="H88" s="49">
        <v>0.64600000000000002</v>
      </c>
      <c r="I88" s="13"/>
      <c r="J88" s="10"/>
      <c r="K88" s="10"/>
    </row>
    <row r="89" spans="1:11" x14ac:dyDescent="0.2">
      <c r="B89" s="23"/>
      <c r="C89" s="18" t="s">
        <v>108</v>
      </c>
      <c r="D89" s="15">
        <v>41</v>
      </c>
      <c r="E89" s="15">
        <v>23.4</v>
      </c>
      <c r="F89" s="35">
        <v>51.1</v>
      </c>
      <c r="G89" s="35">
        <v>26</v>
      </c>
      <c r="H89" s="50">
        <v>0.35399999999999998</v>
      </c>
      <c r="I89" s="35"/>
      <c r="J89" s="10"/>
      <c r="K89" s="10"/>
    </row>
    <row r="91" spans="1:11" x14ac:dyDescent="0.2">
      <c r="A91" s="20">
        <v>45363</v>
      </c>
      <c r="C91" s="12" t="s">
        <v>43</v>
      </c>
      <c r="D91" s="10">
        <v>2</v>
      </c>
      <c r="E91" s="10">
        <v>3</v>
      </c>
      <c r="F91" s="10">
        <v>4</v>
      </c>
      <c r="G91" s="10">
        <v>5</v>
      </c>
      <c r="H91" s="25">
        <f>SUM(D91:G91)</f>
        <v>14</v>
      </c>
      <c r="I91" s="10"/>
    </row>
    <row r="92" spans="1:11" x14ac:dyDescent="0.2">
      <c r="A92" s="10" t="s">
        <v>60</v>
      </c>
      <c r="C92" s="12" t="s">
        <v>109</v>
      </c>
      <c r="D92" s="10">
        <v>4</v>
      </c>
      <c r="E92" s="10">
        <v>3</v>
      </c>
      <c r="F92" s="10">
        <v>2</v>
      </c>
      <c r="G92" s="10">
        <v>2</v>
      </c>
      <c r="H92" s="25">
        <f>SUM(D92:G92)</f>
        <v>11</v>
      </c>
      <c r="I92" s="10"/>
    </row>
    <row r="93" spans="1:11" x14ac:dyDescent="0.2">
      <c r="B93" s="21" t="s">
        <v>49</v>
      </c>
      <c r="C93" s="22" t="s">
        <v>43</v>
      </c>
      <c r="D93" s="13">
        <v>49.2</v>
      </c>
      <c r="E93" s="13">
        <v>48.3</v>
      </c>
      <c r="F93" s="13">
        <v>50.8</v>
      </c>
      <c r="G93" s="13">
        <v>61.8</v>
      </c>
      <c r="H93" s="49">
        <v>0.52600000000000002</v>
      </c>
      <c r="I93" s="13"/>
    </row>
    <row r="94" spans="1:11" x14ac:dyDescent="0.2">
      <c r="B94" s="23"/>
      <c r="C94" s="18" t="s">
        <v>109</v>
      </c>
      <c r="D94" s="15">
        <v>50.8</v>
      </c>
      <c r="E94" s="15">
        <v>51.7</v>
      </c>
      <c r="F94" s="15">
        <v>49.2</v>
      </c>
      <c r="G94" s="15">
        <v>38.200000000000003</v>
      </c>
      <c r="H94" s="50">
        <v>0.47399999999999998</v>
      </c>
      <c r="I94" s="15"/>
    </row>
    <row r="95" spans="1:11" x14ac:dyDescent="0.2">
      <c r="H95" s="12"/>
    </row>
    <row r="96" spans="1:11" x14ac:dyDescent="0.2">
      <c r="A96" s="20">
        <v>45365</v>
      </c>
      <c r="C96" s="12" t="s">
        <v>43</v>
      </c>
      <c r="D96" s="10">
        <v>1</v>
      </c>
      <c r="E96" s="10">
        <v>0</v>
      </c>
      <c r="F96" s="10">
        <v>1</v>
      </c>
      <c r="G96" s="10">
        <v>1</v>
      </c>
      <c r="H96" s="25">
        <f>SUM(D96:G96)+J101+K101</f>
        <v>3</v>
      </c>
      <c r="I96" s="10"/>
    </row>
    <row r="97" spans="1:11" x14ac:dyDescent="0.2">
      <c r="A97" s="10" t="s">
        <v>60</v>
      </c>
      <c r="C97" s="12" t="s">
        <v>86</v>
      </c>
      <c r="D97" s="10">
        <v>6</v>
      </c>
      <c r="E97" s="10">
        <v>7</v>
      </c>
      <c r="F97" s="10">
        <v>2</v>
      </c>
      <c r="G97" s="10">
        <v>3</v>
      </c>
      <c r="H97" s="25">
        <f>SUM(D97:G97)+J102+K102</f>
        <v>18</v>
      </c>
      <c r="I97" s="10"/>
    </row>
    <row r="98" spans="1:11" x14ac:dyDescent="0.2">
      <c r="B98" s="21" t="s">
        <v>49</v>
      </c>
      <c r="C98" s="22" t="s">
        <v>43</v>
      </c>
      <c r="D98" s="34">
        <v>45.5</v>
      </c>
      <c r="E98" s="34">
        <v>43.4</v>
      </c>
      <c r="F98" s="34">
        <v>33.6</v>
      </c>
      <c r="G98" s="34">
        <v>53.9</v>
      </c>
      <c r="H98" s="49">
        <v>0.434</v>
      </c>
      <c r="I98" s="13"/>
    </row>
    <row r="99" spans="1:11" x14ac:dyDescent="0.2">
      <c r="B99" s="23"/>
      <c r="C99" s="18" t="s">
        <v>86</v>
      </c>
      <c r="D99" s="35">
        <v>54.5</v>
      </c>
      <c r="E99" s="35">
        <v>56.6</v>
      </c>
      <c r="F99" s="35">
        <v>66.400000000000006</v>
      </c>
      <c r="G99" s="35">
        <v>46.1</v>
      </c>
      <c r="H99" s="50">
        <v>0.56599999999999995</v>
      </c>
      <c r="I99" s="15"/>
    </row>
    <row r="100" spans="1:11" x14ac:dyDescent="0.2">
      <c r="H100" s="12"/>
      <c r="J100" s="10"/>
      <c r="K100" s="10"/>
    </row>
    <row r="101" spans="1:11" x14ac:dyDescent="0.2">
      <c r="A101" s="20">
        <v>45369</v>
      </c>
      <c r="C101" s="12" t="s">
        <v>43</v>
      </c>
      <c r="D101" s="10">
        <v>8</v>
      </c>
      <c r="E101" s="10">
        <v>6</v>
      </c>
      <c r="F101" s="10">
        <v>3</v>
      </c>
      <c r="G101" s="10">
        <v>6</v>
      </c>
      <c r="H101" s="25">
        <f>SUM(D101:G101)</f>
        <v>23</v>
      </c>
      <c r="I101" s="10"/>
      <c r="J101" s="10"/>
      <c r="K101" s="10"/>
    </row>
    <row r="102" spans="1:11" x14ac:dyDescent="0.2">
      <c r="A102" s="10" t="s">
        <v>59</v>
      </c>
      <c r="C102" s="18" t="s">
        <v>80</v>
      </c>
      <c r="D102" s="10">
        <v>0</v>
      </c>
      <c r="E102" s="10">
        <v>0</v>
      </c>
      <c r="F102" s="10">
        <v>1</v>
      </c>
      <c r="G102" s="10">
        <v>0</v>
      </c>
      <c r="H102" s="25">
        <f>SUM(D102:G102)+J107</f>
        <v>1</v>
      </c>
      <c r="I102" s="10"/>
      <c r="J102" s="10"/>
      <c r="K102" s="10"/>
    </row>
    <row r="103" spans="1:11" x14ac:dyDescent="0.2">
      <c r="B103" s="21" t="s">
        <v>49</v>
      </c>
      <c r="C103" s="12" t="s">
        <v>43</v>
      </c>
      <c r="D103" s="34">
        <v>67.3</v>
      </c>
      <c r="E103" s="34">
        <v>63.9</v>
      </c>
      <c r="F103" s="34">
        <v>59.2</v>
      </c>
      <c r="G103" s="34">
        <v>88.4</v>
      </c>
      <c r="H103" s="49">
        <v>0.68200000000000005</v>
      </c>
      <c r="I103" s="34"/>
      <c r="J103" s="10"/>
      <c r="K103" s="10"/>
    </row>
    <row r="104" spans="1:11" x14ac:dyDescent="0.2">
      <c r="B104" s="23"/>
      <c r="C104" s="18" t="s">
        <v>80</v>
      </c>
      <c r="D104" s="35">
        <v>32.700000000000003</v>
      </c>
      <c r="E104" s="35">
        <v>36.1</v>
      </c>
      <c r="F104" s="35">
        <v>40.799999999999997</v>
      </c>
      <c r="G104" s="35">
        <v>11.6</v>
      </c>
      <c r="H104" s="50">
        <v>0.318</v>
      </c>
      <c r="I104" s="35"/>
      <c r="J104" s="10"/>
      <c r="K104" s="10"/>
    </row>
    <row r="105" spans="1:11" x14ac:dyDescent="0.2">
      <c r="J105" s="10"/>
    </row>
    <row r="106" spans="1:11" x14ac:dyDescent="0.2">
      <c r="A106" s="20">
        <v>45371</v>
      </c>
      <c r="C106" s="12" t="s">
        <v>43</v>
      </c>
      <c r="D106" s="10">
        <v>2</v>
      </c>
      <c r="E106" s="10">
        <v>1</v>
      </c>
      <c r="F106" s="10">
        <v>4</v>
      </c>
      <c r="G106" s="10">
        <v>2</v>
      </c>
      <c r="H106" s="25">
        <f>SUM(D106:G106)</f>
        <v>9</v>
      </c>
      <c r="I106" s="10"/>
      <c r="J106" s="10"/>
    </row>
    <row r="107" spans="1:11" x14ac:dyDescent="0.2">
      <c r="A107" s="10" t="s">
        <v>60</v>
      </c>
      <c r="C107" s="18" t="s">
        <v>110</v>
      </c>
      <c r="D107" s="10">
        <v>5</v>
      </c>
      <c r="E107" s="10">
        <v>4</v>
      </c>
      <c r="F107" s="10">
        <v>2</v>
      </c>
      <c r="G107" s="10">
        <v>4</v>
      </c>
      <c r="H107" s="25">
        <f>SUM(D107:G107)+J112</f>
        <v>15</v>
      </c>
      <c r="I107" s="10"/>
      <c r="J107" s="10"/>
    </row>
    <row r="108" spans="1:11" x14ac:dyDescent="0.2">
      <c r="B108" s="21" t="s">
        <v>49</v>
      </c>
      <c r="C108" s="12" t="s">
        <v>43</v>
      </c>
      <c r="D108" s="34">
        <v>39.299999999999997</v>
      </c>
      <c r="E108" s="34">
        <v>43.8</v>
      </c>
      <c r="F108" s="34">
        <v>48</v>
      </c>
      <c r="G108" s="34">
        <v>55.2</v>
      </c>
      <c r="H108" s="49">
        <v>0.46500000000000002</v>
      </c>
      <c r="I108" s="34"/>
      <c r="J108" s="10"/>
    </row>
    <row r="109" spans="1:11" x14ac:dyDescent="0.2">
      <c r="B109" s="23"/>
      <c r="C109" s="18" t="s">
        <v>110</v>
      </c>
      <c r="D109" s="35">
        <v>60.7</v>
      </c>
      <c r="E109" s="35">
        <v>56.2</v>
      </c>
      <c r="F109" s="35">
        <v>52</v>
      </c>
      <c r="G109" s="35">
        <v>44.8</v>
      </c>
      <c r="H109" s="50">
        <v>0.53500000000000003</v>
      </c>
      <c r="I109" s="35"/>
      <c r="J109" s="30"/>
    </row>
    <row r="110" spans="1:11" x14ac:dyDescent="0.2">
      <c r="H110" s="12"/>
    </row>
    <row r="111" spans="1:11" x14ac:dyDescent="0.2">
      <c r="A111" s="20">
        <v>45372</v>
      </c>
      <c r="C111" s="12" t="s">
        <v>43</v>
      </c>
      <c r="D111" s="10">
        <v>2</v>
      </c>
      <c r="E111" s="10">
        <v>3</v>
      </c>
      <c r="F111" s="10">
        <v>7</v>
      </c>
      <c r="G111" s="10">
        <v>0</v>
      </c>
      <c r="H111" s="25">
        <f>SUM(D111:G111)</f>
        <v>12</v>
      </c>
      <c r="I111" s="10"/>
    </row>
    <row r="112" spans="1:11" x14ac:dyDescent="0.2">
      <c r="A112" s="10" t="s">
        <v>60</v>
      </c>
      <c r="C112" s="18" t="s">
        <v>81</v>
      </c>
      <c r="D112" s="10">
        <v>0</v>
      </c>
      <c r="E112" s="10">
        <v>0</v>
      </c>
      <c r="F112" s="10">
        <v>1</v>
      </c>
      <c r="G112" s="10">
        <v>3</v>
      </c>
      <c r="H112" s="25">
        <f>SUM(D112:G112)</f>
        <v>4</v>
      </c>
      <c r="I112" s="10"/>
    </row>
    <row r="113" spans="1:10" x14ac:dyDescent="0.2">
      <c r="B113" s="21" t="s">
        <v>49</v>
      </c>
      <c r="C113" s="12" t="s">
        <v>43</v>
      </c>
      <c r="D113" s="34">
        <v>56.7</v>
      </c>
      <c r="E113" s="34">
        <v>68.8</v>
      </c>
      <c r="F113" s="34">
        <v>60.2</v>
      </c>
      <c r="G113" s="34">
        <v>53.7</v>
      </c>
      <c r="H113" s="49">
        <v>0.59599999999999997</v>
      </c>
      <c r="I113" s="34"/>
    </row>
    <row r="114" spans="1:10" x14ac:dyDescent="0.2">
      <c r="B114" s="23"/>
      <c r="C114" s="18" t="s">
        <v>81</v>
      </c>
      <c r="D114" s="35">
        <v>43.3</v>
      </c>
      <c r="E114" s="35">
        <v>31.2</v>
      </c>
      <c r="F114" s="35">
        <v>39.799999999999997</v>
      </c>
      <c r="G114" s="35">
        <v>46.3</v>
      </c>
      <c r="H114" s="50">
        <v>0.40400000000000003</v>
      </c>
      <c r="I114" s="35"/>
    </row>
    <row r="115" spans="1:10" x14ac:dyDescent="0.2">
      <c r="H115" s="12"/>
      <c r="J115" s="25"/>
    </row>
    <row r="116" spans="1:10" x14ac:dyDescent="0.2">
      <c r="A116" s="20">
        <v>45376</v>
      </c>
      <c r="C116" s="12" t="s">
        <v>43</v>
      </c>
      <c r="D116" s="10">
        <v>3</v>
      </c>
      <c r="E116" s="10">
        <v>2</v>
      </c>
      <c r="F116" s="10">
        <v>3</v>
      </c>
      <c r="G116" s="10">
        <v>2</v>
      </c>
      <c r="H116" s="25">
        <f>SUM(D116:G116)</f>
        <v>10</v>
      </c>
      <c r="I116" s="10"/>
      <c r="J116" s="10"/>
    </row>
    <row r="117" spans="1:10" x14ac:dyDescent="0.2">
      <c r="A117" s="10" t="s">
        <v>60</v>
      </c>
      <c r="C117" s="12" t="s">
        <v>87</v>
      </c>
      <c r="D117" s="15">
        <v>3</v>
      </c>
      <c r="E117" s="10">
        <v>1</v>
      </c>
      <c r="F117" s="10">
        <v>3</v>
      </c>
      <c r="G117" s="10">
        <v>2</v>
      </c>
      <c r="H117" s="25">
        <f>SUM(D117:G117)</f>
        <v>9</v>
      </c>
      <c r="I117" s="10"/>
    </row>
    <row r="118" spans="1:10" x14ac:dyDescent="0.2">
      <c r="B118" s="21" t="s">
        <v>49</v>
      </c>
      <c r="C118" s="22" t="s">
        <v>43</v>
      </c>
      <c r="D118">
        <v>56.6</v>
      </c>
      <c r="E118" s="34">
        <v>44.5</v>
      </c>
      <c r="F118" s="34">
        <v>53</v>
      </c>
      <c r="G118" s="34">
        <v>61.2</v>
      </c>
      <c r="H118" s="49">
        <v>0.53800000000000003</v>
      </c>
      <c r="I118" s="34"/>
    </row>
    <row r="119" spans="1:10" x14ac:dyDescent="0.2">
      <c r="B119" s="23"/>
      <c r="C119" s="18" t="s">
        <v>87</v>
      </c>
      <c r="D119" s="48">
        <v>43.4</v>
      </c>
      <c r="E119" s="35">
        <v>55.5</v>
      </c>
      <c r="F119" s="35">
        <v>47</v>
      </c>
      <c r="G119" s="35">
        <v>38.799999999999997</v>
      </c>
      <c r="H119" s="50">
        <v>0.46200000000000002</v>
      </c>
      <c r="I119" s="35"/>
    </row>
    <row r="120" spans="1:10" x14ac:dyDescent="0.2">
      <c r="H120" s="12"/>
    </row>
    <row r="121" spans="1:10" x14ac:dyDescent="0.2">
      <c r="A121" s="20">
        <v>45377</v>
      </c>
      <c r="C121" s="12" t="s">
        <v>43</v>
      </c>
      <c r="D121" s="10">
        <v>5</v>
      </c>
      <c r="E121" s="10">
        <v>6</v>
      </c>
      <c r="F121" s="10">
        <v>6</v>
      </c>
      <c r="G121" s="10">
        <v>3</v>
      </c>
      <c r="H121" s="25">
        <f>SUM(D121:G121)</f>
        <v>20</v>
      </c>
      <c r="I121" s="10"/>
    </row>
    <row r="122" spans="1:10" x14ac:dyDescent="0.2">
      <c r="A122" s="10" t="s">
        <v>60</v>
      </c>
      <c r="C122" s="12" t="s">
        <v>111</v>
      </c>
      <c r="D122" s="10">
        <v>2</v>
      </c>
      <c r="E122" s="10">
        <v>1</v>
      </c>
      <c r="F122" s="10">
        <v>1</v>
      </c>
      <c r="G122" s="10">
        <v>0</v>
      </c>
      <c r="H122" s="25">
        <f>SUM(D122:G122)</f>
        <v>4</v>
      </c>
      <c r="I122" s="10"/>
    </row>
    <row r="123" spans="1:10" x14ac:dyDescent="0.2">
      <c r="B123" s="21" t="s">
        <v>49</v>
      </c>
      <c r="C123" s="22" t="s">
        <v>43</v>
      </c>
      <c r="D123" s="13">
        <v>60.1</v>
      </c>
      <c r="E123" s="13">
        <v>63.7</v>
      </c>
      <c r="F123" s="13">
        <v>69.3</v>
      </c>
      <c r="G123" s="13">
        <v>67.400000000000006</v>
      </c>
      <c r="H123" s="49">
        <v>0.64700000000000002</v>
      </c>
      <c r="I123" s="13"/>
    </row>
    <row r="124" spans="1:10" x14ac:dyDescent="0.2">
      <c r="B124" s="23"/>
      <c r="C124" s="18" t="s">
        <v>111</v>
      </c>
      <c r="D124" s="15">
        <v>39.9</v>
      </c>
      <c r="E124" s="15">
        <v>36.299999999999997</v>
      </c>
      <c r="F124" s="15">
        <v>30.7</v>
      </c>
      <c r="G124" s="15">
        <v>32.6</v>
      </c>
      <c r="H124" s="50">
        <v>0.35299999999999998</v>
      </c>
      <c r="I124" s="15"/>
    </row>
    <row r="125" spans="1:10" x14ac:dyDescent="0.2">
      <c r="H125" s="12"/>
    </row>
    <row r="126" spans="1:10" x14ac:dyDescent="0.2">
      <c r="A126" s="20">
        <v>45381</v>
      </c>
      <c r="C126" s="12" t="s">
        <v>43</v>
      </c>
      <c r="D126" s="10">
        <v>3</v>
      </c>
      <c r="E126" s="10">
        <v>3</v>
      </c>
      <c r="F126" s="10">
        <v>3</v>
      </c>
      <c r="G126" s="10">
        <v>3</v>
      </c>
      <c r="H126" s="25">
        <f>SUM(D126:G126)</f>
        <v>12</v>
      </c>
      <c r="I126" s="10"/>
    </row>
    <row r="127" spans="1:10" x14ac:dyDescent="0.2">
      <c r="A127" s="10" t="s">
        <v>113</v>
      </c>
      <c r="C127" s="12" t="s">
        <v>112</v>
      </c>
      <c r="D127" s="10">
        <v>5</v>
      </c>
      <c r="E127" s="10">
        <v>1</v>
      </c>
      <c r="F127" s="10">
        <v>2</v>
      </c>
      <c r="G127" s="10">
        <v>1</v>
      </c>
      <c r="H127" s="25">
        <f>SUM(D127:G127)</f>
        <v>9</v>
      </c>
      <c r="I127" s="10"/>
    </row>
    <row r="128" spans="1:10" x14ac:dyDescent="0.2">
      <c r="B128" s="21" t="s">
        <v>49</v>
      </c>
      <c r="C128" s="22" t="s">
        <v>43</v>
      </c>
      <c r="D128" s="34">
        <v>49.8</v>
      </c>
      <c r="E128" s="34">
        <v>53.4</v>
      </c>
      <c r="F128" s="34">
        <v>66.099999999999994</v>
      </c>
      <c r="G128" s="34">
        <v>54.1</v>
      </c>
      <c r="H128" s="49">
        <v>0.55800000000000005</v>
      </c>
      <c r="I128" s="34"/>
    </row>
    <row r="129" spans="1:9" x14ac:dyDescent="0.2">
      <c r="B129" s="23"/>
      <c r="C129" s="18" t="s">
        <v>112</v>
      </c>
      <c r="D129" s="35">
        <v>50.2</v>
      </c>
      <c r="E129" s="35">
        <v>46.6</v>
      </c>
      <c r="F129" s="35">
        <v>33.9</v>
      </c>
      <c r="G129" s="35">
        <v>45.9</v>
      </c>
      <c r="H129" s="50">
        <v>0.442</v>
      </c>
      <c r="I129" s="35"/>
    </row>
    <row r="130" spans="1:9" x14ac:dyDescent="0.2">
      <c r="H130" s="12"/>
    </row>
    <row r="131" spans="1:9" x14ac:dyDescent="0.2">
      <c r="A131" s="20"/>
      <c r="C131" s="12" t="s">
        <v>43</v>
      </c>
      <c r="D131" s="10">
        <v>6</v>
      </c>
      <c r="E131" s="10">
        <v>3</v>
      </c>
      <c r="F131" s="10">
        <v>2</v>
      </c>
      <c r="G131" s="10">
        <v>2</v>
      </c>
      <c r="H131" s="25">
        <f>SUM(D131:G131)</f>
        <v>13</v>
      </c>
      <c r="I131" s="10"/>
    </row>
    <row r="132" spans="1:9" x14ac:dyDescent="0.2">
      <c r="A132" s="20">
        <v>45383</v>
      </c>
      <c r="C132" s="12" t="s">
        <v>82</v>
      </c>
      <c r="D132" s="10">
        <v>1</v>
      </c>
      <c r="E132" s="10">
        <v>1</v>
      </c>
      <c r="F132" s="10">
        <v>2</v>
      </c>
      <c r="G132" s="10">
        <v>4</v>
      </c>
      <c r="H132" s="25">
        <f>SUM(D132:G132)</f>
        <v>8</v>
      </c>
      <c r="I132" s="10"/>
    </row>
    <row r="133" spans="1:9" x14ac:dyDescent="0.2">
      <c r="A133" s="10" t="s">
        <v>59</v>
      </c>
      <c r="B133" s="21" t="s">
        <v>49</v>
      </c>
      <c r="C133" s="22" t="s">
        <v>43</v>
      </c>
      <c r="D133" s="34">
        <v>64.599999999999994</v>
      </c>
      <c r="E133" s="34">
        <v>49.7</v>
      </c>
      <c r="F133" s="34">
        <v>62.1</v>
      </c>
      <c r="G133" s="34">
        <v>36</v>
      </c>
      <c r="H133" s="49">
        <v>0.53</v>
      </c>
      <c r="I133" s="34"/>
    </row>
    <row r="134" spans="1:9" x14ac:dyDescent="0.2">
      <c r="B134" s="23"/>
      <c r="C134" s="18" t="s">
        <v>82</v>
      </c>
      <c r="D134" s="35">
        <v>35.4</v>
      </c>
      <c r="E134" s="35">
        <v>50.3</v>
      </c>
      <c r="F134" s="35">
        <v>37.9</v>
      </c>
      <c r="G134" s="35">
        <v>64</v>
      </c>
      <c r="H134" s="50">
        <v>0.47</v>
      </c>
      <c r="I134" s="35"/>
    </row>
    <row r="136" spans="1:9" x14ac:dyDescent="0.2">
      <c r="A136" s="20">
        <v>45386</v>
      </c>
      <c r="C136" s="12" t="s">
        <v>43</v>
      </c>
      <c r="D136" s="10">
        <v>1</v>
      </c>
      <c r="E136" s="10">
        <v>6</v>
      </c>
      <c r="F136" s="10">
        <v>3</v>
      </c>
      <c r="G136" s="10">
        <v>2</v>
      </c>
      <c r="H136" s="25">
        <f>SUM(D136:G136)</f>
        <v>12</v>
      </c>
      <c r="I136" s="10"/>
    </row>
    <row r="137" spans="1:9" x14ac:dyDescent="0.2">
      <c r="A137" s="10" t="s">
        <v>59</v>
      </c>
      <c r="C137" s="12" t="s">
        <v>114</v>
      </c>
      <c r="D137" s="10">
        <v>3</v>
      </c>
      <c r="E137" s="10">
        <v>5</v>
      </c>
      <c r="F137" s="10">
        <v>4</v>
      </c>
      <c r="G137" s="10">
        <v>2</v>
      </c>
      <c r="H137" s="25">
        <f>SUM(D137:G137)+J167</f>
        <v>14</v>
      </c>
      <c r="I137" s="10"/>
    </row>
    <row r="138" spans="1:9" x14ac:dyDescent="0.2">
      <c r="B138" s="21" t="s">
        <v>49</v>
      </c>
      <c r="C138" s="22" t="s">
        <v>43</v>
      </c>
      <c r="D138" s="13">
        <v>59.5</v>
      </c>
      <c r="E138" s="13">
        <v>65</v>
      </c>
      <c r="F138" s="13">
        <v>69</v>
      </c>
      <c r="G138" s="13">
        <v>57.4</v>
      </c>
      <c r="H138" s="49">
        <v>0.626</v>
      </c>
      <c r="I138" s="13"/>
    </row>
    <row r="139" spans="1:9" x14ac:dyDescent="0.2">
      <c r="B139" s="23"/>
      <c r="C139" s="18" t="s">
        <v>114</v>
      </c>
      <c r="D139" s="15">
        <v>40.5</v>
      </c>
      <c r="E139" s="15">
        <v>35</v>
      </c>
      <c r="F139" s="15">
        <v>31</v>
      </c>
      <c r="G139" s="15">
        <v>42.6</v>
      </c>
      <c r="H139" s="50">
        <v>0.374</v>
      </c>
      <c r="I139" s="15"/>
    </row>
    <row r="140" spans="1:9" x14ac:dyDescent="0.2">
      <c r="H140" s="12"/>
    </row>
    <row r="141" spans="1:9" x14ac:dyDescent="0.2">
      <c r="A141" s="20">
        <v>45391</v>
      </c>
      <c r="C141" s="12" t="s">
        <v>43</v>
      </c>
      <c r="D141" s="10">
        <v>1</v>
      </c>
      <c r="E141" s="10">
        <v>4</v>
      </c>
      <c r="F141" s="10">
        <v>1</v>
      </c>
      <c r="G141" s="10">
        <v>1</v>
      </c>
      <c r="H141" s="25">
        <f>SUM(D141:G141)</f>
        <v>7</v>
      </c>
      <c r="I141" s="10"/>
    </row>
    <row r="142" spans="1:9" x14ac:dyDescent="0.2">
      <c r="A142" s="10" t="s">
        <v>59</v>
      </c>
      <c r="C142" s="12" t="s">
        <v>88</v>
      </c>
      <c r="D142" s="10">
        <v>0</v>
      </c>
      <c r="E142" s="10">
        <v>2</v>
      </c>
      <c r="F142" s="10">
        <v>3</v>
      </c>
      <c r="G142" s="10">
        <v>3</v>
      </c>
      <c r="H142" s="25">
        <f>SUM(D142:G142)</f>
        <v>8</v>
      </c>
      <c r="I142" s="10"/>
    </row>
    <row r="143" spans="1:9" x14ac:dyDescent="0.2">
      <c r="B143" s="21" t="s">
        <v>49</v>
      </c>
      <c r="C143" s="22" t="s">
        <v>43</v>
      </c>
      <c r="D143" s="34">
        <v>47.8</v>
      </c>
      <c r="E143" s="34">
        <v>43.6</v>
      </c>
      <c r="F143" s="34">
        <v>34.1</v>
      </c>
      <c r="G143" s="34">
        <v>40.5</v>
      </c>
      <c r="H143" s="49">
        <v>0.41499999999999998</v>
      </c>
      <c r="I143" s="34"/>
    </row>
    <row r="144" spans="1:9" x14ac:dyDescent="0.2">
      <c r="B144" s="23"/>
      <c r="C144" s="18" t="s">
        <v>88</v>
      </c>
      <c r="D144" s="35">
        <v>52.2</v>
      </c>
      <c r="E144" s="35">
        <v>56.4</v>
      </c>
      <c r="F144" s="35">
        <v>65.900000000000006</v>
      </c>
      <c r="G144" s="35">
        <v>59.5</v>
      </c>
      <c r="H144" s="50">
        <v>0.58499999999999996</v>
      </c>
      <c r="I144" s="35"/>
    </row>
    <row r="145" spans="1:10" x14ac:dyDescent="0.2">
      <c r="F145" s="31"/>
      <c r="H145" s="12"/>
      <c r="I145" s="31"/>
    </row>
    <row r="146" spans="1:10" x14ac:dyDescent="0.2">
      <c r="A146" s="20"/>
      <c r="C146" s="12" t="s">
        <v>43</v>
      </c>
      <c r="D146" s="10">
        <v>8</v>
      </c>
      <c r="E146" s="10">
        <v>6</v>
      </c>
      <c r="F146" s="10">
        <v>4</v>
      </c>
      <c r="G146" s="10">
        <v>0</v>
      </c>
      <c r="H146" s="25">
        <f>SUM(D146:G146)</f>
        <v>18</v>
      </c>
      <c r="I146" s="10"/>
    </row>
    <row r="147" spans="1:10" x14ac:dyDescent="0.2">
      <c r="A147" s="20">
        <v>45394</v>
      </c>
      <c r="C147" s="12" t="s">
        <v>80</v>
      </c>
      <c r="D147" s="10">
        <v>1</v>
      </c>
      <c r="E147" s="10">
        <v>2</v>
      </c>
      <c r="F147" s="10">
        <v>1</v>
      </c>
      <c r="G147" s="10">
        <v>0</v>
      </c>
      <c r="H147" s="25">
        <f>SUM(D147:G147)</f>
        <v>4</v>
      </c>
      <c r="I147" s="10"/>
    </row>
    <row r="148" spans="1:10" x14ac:dyDescent="0.2">
      <c r="A148" s="10" t="s">
        <v>60</v>
      </c>
      <c r="B148" s="21" t="s">
        <v>49</v>
      </c>
      <c r="C148" s="22" t="s">
        <v>43</v>
      </c>
      <c r="D148" s="13">
        <v>84.9</v>
      </c>
      <c r="E148" s="13">
        <v>61.2</v>
      </c>
      <c r="F148" s="13">
        <v>67.8</v>
      </c>
      <c r="G148" s="13">
        <v>56</v>
      </c>
      <c r="H148" s="49">
        <v>0.66700000000000004</v>
      </c>
      <c r="I148" s="13"/>
    </row>
    <row r="149" spans="1:10" x14ac:dyDescent="0.2">
      <c r="B149" s="23"/>
      <c r="C149" s="18" t="s">
        <v>80</v>
      </c>
      <c r="D149" s="15">
        <v>15.1</v>
      </c>
      <c r="E149" s="15">
        <v>38.799999999999997</v>
      </c>
      <c r="F149" s="15">
        <v>32.200000000000003</v>
      </c>
      <c r="G149" s="15">
        <v>44</v>
      </c>
      <c r="H149" s="50">
        <v>0.33300000000000002</v>
      </c>
      <c r="I149" s="15"/>
    </row>
    <row r="150" spans="1:10" x14ac:dyDescent="0.2">
      <c r="H150" s="12"/>
    </row>
    <row r="151" spans="1:10" x14ac:dyDescent="0.2">
      <c r="A151" s="20">
        <v>45398</v>
      </c>
      <c r="C151" s="12" t="s">
        <v>43</v>
      </c>
      <c r="D151" s="10">
        <v>2</v>
      </c>
      <c r="E151" s="10">
        <v>5</v>
      </c>
      <c r="F151" s="10">
        <v>5</v>
      </c>
      <c r="G151" s="10">
        <v>4</v>
      </c>
      <c r="H151" s="25">
        <f>SUM(D151:G151)</f>
        <v>16</v>
      </c>
      <c r="I151" s="10"/>
    </row>
    <row r="152" spans="1:10" x14ac:dyDescent="0.2">
      <c r="A152" s="10" t="s">
        <v>59</v>
      </c>
      <c r="C152" s="12" t="s">
        <v>81</v>
      </c>
      <c r="D152" s="10">
        <v>3</v>
      </c>
      <c r="E152" s="10">
        <v>0</v>
      </c>
      <c r="F152" s="10">
        <v>1</v>
      </c>
      <c r="G152" s="10">
        <v>0</v>
      </c>
      <c r="H152" s="25">
        <f>SUM(D152:G152)</f>
        <v>4</v>
      </c>
      <c r="I152" s="10"/>
    </row>
    <row r="153" spans="1:10" x14ac:dyDescent="0.2">
      <c r="B153" s="21" t="s">
        <v>49</v>
      </c>
      <c r="C153" s="22" t="s">
        <v>43</v>
      </c>
      <c r="D153" s="34">
        <v>61.5</v>
      </c>
      <c r="E153" s="34">
        <v>59.3</v>
      </c>
      <c r="F153" s="34">
        <v>81.3</v>
      </c>
      <c r="G153" s="34">
        <v>62.1</v>
      </c>
      <c r="H153" s="49">
        <v>0.66</v>
      </c>
      <c r="I153" s="34"/>
    </row>
    <row r="154" spans="1:10" x14ac:dyDescent="0.2">
      <c r="B154" s="23"/>
      <c r="C154" s="18" t="s">
        <v>81</v>
      </c>
      <c r="D154" s="35">
        <v>38.5</v>
      </c>
      <c r="E154" s="35">
        <v>40.700000000000003</v>
      </c>
      <c r="F154" s="35">
        <v>18.7</v>
      </c>
      <c r="G154" s="35">
        <v>37.9</v>
      </c>
      <c r="H154" s="50">
        <v>0.34</v>
      </c>
      <c r="I154" s="35"/>
    </row>
    <row r="155" spans="1:10" x14ac:dyDescent="0.2">
      <c r="H155" s="12"/>
    </row>
    <row r="156" spans="1:10" x14ac:dyDescent="0.2">
      <c r="A156" s="20">
        <v>45399</v>
      </c>
      <c r="C156" s="12" t="s">
        <v>43</v>
      </c>
      <c r="D156" s="10">
        <v>2</v>
      </c>
      <c r="E156" s="10">
        <v>3</v>
      </c>
      <c r="F156" s="10">
        <v>1</v>
      </c>
      <c r="G156" s="10">
        <v>1</v>
      </c>
      <c r="H156" s="25">
        <f>SUM(D156:G156)</f>
        <v>7</v>
      </c>
      <c r="I156" s="10"/>
    </row>
    <row r="157" spans="1:10" x14ac:dyDescent="0.2">
      <c r="A157" s="10" t="s">
        <v>59</v>
      </c>
      <c r="C157" s="12" t="s">
        <v>79</v>
      </c>
      <c r="D157" s="10">
        <v>1</v>
      </c>
      <c r="E157" s="10">
        <v>1</v>
      </c>
      <c r="F157" s="10">
        <v>2</v>
      </c>
      <c r="G157" s="10">
        <v>2</v>
      </c>
      <c r="H157" s="25">
        <f>SUM(D157:G157)</f>
        <v>6</v>
      </c>
      <c r="I157" s="10"/>
    </row>
    <row r="158" spans="1:10" x14ac:dyDescent="0.2">
      <c r="B158" s="21" t="s">
        <v>49</v>
      </c>
      <c r="C158" s="22" t="s">
        <v>43</v>
      </c>
      <c r="D158" s="34">
        <v>58.6</v>
      </c>
      <c r="E158" s="34">
        <v>42.7</v>
      </c>
      <c r="F158" s="34">
        <v>65.099999999999994</v>
      </c>
      <c r="G158" s="34">
        <v>63.1</v>
      </c>
      <c r="H158" s="49">
        <v>0.57199999999999995</v>
      </c>
      <c r="I158" s="34"/>
    </row>
    <row r="159" spans="1:10" x14ac:dyDescent="0.2">
      <c r="B159" s="23"/>
      <c r="C159" s="18" t="s">
        <v>79</v>
      </c>
      <c r="D159" s="35">
        <v>41.4</v>
      </c>
      <c r="E159" s="35">
        <v>57.3</v>
      </c>
      <c r="F159" s="35">
        <v>34.9</v>
      </c>
      <c r="G159" s="35">
        <v>36.9</v>
      </c>
      <c r="H159" s="50">
        <v>0.42799999999999999</v>
      </c>
      <c r="I159" s="35"/>
    </row>
    <row r="160" spans="1:10" x14ac:dyDescent="0.2">
      <c r="J160" s="10"/>
    </row>
    <row r="161" spans="1:14" x14ac:dyDescent="0.2">
      <c r="A161" s="20">
        <v>45401</v>
      </c>
      <c r="C161" s="12" t="s">
        <v>43</v>
      </c>
      <c r="D161" s="10">
        <v>1</v>
      </c>
      <c r="E161" s="10">
        <v>0</v>
      </c>
      <c r="F161" s="10">
        <v>1</v>
      </c>
      <c r="G161" s="10">
        <v>2</v>
      </c>
      <c r="H161" s="25">
        <f>SUM(D161:G161)</f>
        <v>4</v>
      </c>
      <c r="I161" s="10"/>
      <c r="J161" s="10"/>
    </row>
    <row r="162" spans="1:14" x14ac:dyDescent="0.2">
      <c r="A162" s="10" t="s">
        <v>60</v>
      </c>
      <c r="C162" s="12" t="s">
        <v>89</v>
      </c>
      <c r="D162" s="10">
        <v>0</v>
      </c>
      <c r="E162" s="10">
        <v>1</v>
      </c>
      <c r="F162" s="10">
        <v>0</v>
      </c>
      <c r="G162" s="10">
        <v>2</v>
      </c>
      <c r="H162" s="25">
        <f>SUM(D162:G162)</f>
        <v>3</v>
      </c>
      <c r="I162" s="10"/>
      <c r="J162" s="10"/>
    </row>
    <row r="163" spans="1:14" x14ac:dyDescent="0.2">
      <c r="B163" s="21" t="s">
        <v>49</v>
      </c>
      <c r="C163" s="22" t="s">
        <v>43</v>
      </c>
      <c r="D163" s="34">
        <v>50.9</v>
      </c>
      <c r="E163" s="34">
        <v>53.1</v>
      </c>
      <c r="F163" s="34">
        <v>35.700000000000003</v>
      </c>
      <c r="G163" s="34">
        <v>61.6</v>
      </c>
      <c r="H163" s="49">
        <v>0.503</v>
      </c>
      <c r="I163" s="34"/>
    </row>
    <row r="164" spans="1:14" x14ac:dyDescent="0.2">
      <c r="B164" s="23"/>
      <c r="C164" s="18" t="s">
        <v>89</v>
      </c>
      <c r="D164" s="35">
        <v>49.1</v>
      </c>
      <c r="E164" s="35">
        <v>46.9</v>
      </c>
      <c r="F164" s="35">
        <v>64.3</v>
      </c>
      <c r="G164" s="35">
        <v>38.4</v>
      </c>
      <c r="H164" s="50">
        <v>0.497</v>
      </c>
      <c r="I164" s="35"/>
    </row>
    <row r="165" spans="1:14" x14ac:dyDescent="0.2">
      <c r="H165" s="12"/>
    </row>
    <row r="166" spans="1:14" x14ac:dyDescent="0.2">
      <c r="A166" s="20">
        <v>45405</v>
      </c>
      <c r="C166" s="12" t="s">
        <v>43</v>
      </c>
      <c r="D166" s="10">
        <v>1</v>
      </c>
      <c r="E166" s="10">
        <v>3</v>
      </c>
      <c r="F166" s="10">
        <v>1</v>
      </c>
      <c r="G166" s="10">
        <v>1</v>
      </c>
      <c r="H166" s="25">
        <f>SUM(D166:G166)+J161</f>
        <v>6</v>
      </c>
      <c r="I166" s="10"/>
    </row>
    <row r="167" spans="1:14" x14ac:dyDescent="0.2">
      <c r="A167" s="10" t="s">
        <v>59</v>
      </c>
      <c r="C167" s="12" t="s">
        <v>86</v>
      </c>
      <c r="D167" s="15">
        <v>2</v>
      </c>
      <c r="E167" s="15">
        <v>1</v>
      </c>
      <c r="F167" s="15">
        <v>5</v>
      </c>
      <c r="G167" s="15">
        <v>4</v>
      </c>
      <c r="H167" s="19">
        <f>SUM(D167:G167)+J162</f>
        <v>12</v>
      </c>
      <c r="I167" s="10"/>
    </row>
    <row r="168" spans="1:14" x14ac:dyDescent="0.2">
      <c r="B168" s="21" t="s">
        <v>49</v>
      </c>
      <c r="C168" s="22" t="s">
        <v>43</v>
      </c>
      <c r="D168" s="10">
        <v>49.8</v>
      </c>
      <c r="E168" s="10">
        <v>53.2</v>
      </c>
      <c r="F168" s="10">
        <v>56.5</v>
      </c>
      <c r="G168" s="10">
        <v>39.1</v>
      </c>
      <c r="H168" s="49">
        <v>0.498</v>
      </c>
      <c r="I168" s="13"/>
    </row>
    <row r="169" spans="1:14" x14ac:dyDescent="0.2">
      <c r="B169" s="23"/>
      <c r="C169" s="18" t="s">
        <v>86</v>
      </c>
      <c r="D169" s="15">
        <v>50.2</v>
      </c>
      <c r="E169" s="15">
        <v>46.8</v>
      </c>
      <c r="F169" s="15">
        <v>43.5</v>
      </c>
      <c r="G169" s="15">
        <v>60.9</v>
      </c>
      <c r="H169" s="50">
        <v>0.502</v>
      </c>
      <c r="I169" s="15"/>
    </row>
    <row r="170" spans="1:14" x14ac:dyDescent="0.2">
      <c r="I170" s="10" t="s">
        <v>116</v>
      </c>
      <c r="J170" s="10" t="s">
        <v>117</v>
      </c>
      <c r="K170" s="10" t="s">
        <v>118</v>
      </c>
      <c r="L170" s="10" t="s">
        <v>119</v>
      </c>
      <c r="M170" s="10" t="s">
        <v>120</v>
      </c>
      <c r="N170" s="10" t="s">
        <v>121</v>
      </c>
    </row>
    <row r="171" spans="1:14" x14ac:dyDescent="0.2">
      <c r="A171" s="20">
        <v>45407</v>
      </c>
      <c r="C171" s="12" t="s">
        <v>43</v>
      </c>
      <c r="D171" s="10">
        <v>3</v>
      </c>
      <c r="E171" s="10">
        <v>1</v>
      </c>
      <c r="F171" s="10">
        <v>2</v>
      </c>
      <c r="G171" s="10">
        <v>2</v>
      </c>
      <c r="H171" s="25">
        <f>SUM(D171:G171)+(I171+J171+K171+L171+M171+N171)</f>
        <v>8</v>
      </c>
      <c r="I171" s="10">
        <v>0</v>
      </c>
      <c r="J171" s="10">
        <v>0</v>
      </c>
      <c r="K171" s="10">
        <v>0</v>
      </c>
      <c r="L171" s="10">
        <v>0</v>
      </c>
      <c r="M171" s="10">
        <v>0</v>
      </c>
      <c r="N171" s="10">
        <v>0</v>
      </c>
    </row>
    <row r="172" spans="1:14" x14ac:dyDescent="0.2">
      <c r="A172" s="10" t="s">
        <v>60</v>
      </c>
      <c r="C172" s="12" t="s">
        <v>88</v>
      </c>
      <c r="D172" s="10">
        <v>2</v>
      </c>
      <c r="E172" s="10">
        <v>1</v>
      </c>
      <c r="F172" s="10">
        <v>3</v>
      </c>
      <c r="G172" s="10">
        <v>2</v>
      </c>
      <c r="H172" s="25">
        <f>SUM(D172:G172)+J172+(I172+K172+L172+M172+N172)</f>
        <v>9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1</v>
      </c>
    </row>
    <row r="173" spans="1:14" x14ac:dyDescent="0.2">
      <c r="B173" s="21" t="s">
        <v>49</v>
      </c>
      <c r="C173" s="22" t="s">
        <v>43</v>
      </c>
      <c r="D173" s="13">
        <v>56</v>
      </c>
      <c r="E173" s="13">
        <v>54.5</v>
      </c>
      <c r="F173" s="13">
        <v>49.4</v>
      </c>
      <c r="G173" s="13">
        <v>45.8</v>
      </c>
      <c r="H173" s="49">
        <v>0.54700000000000004</v>
      </c>
      <c r="I173" s="13">
        <v>60.9</v>
      </c>
    </row>
    <row r="174" spans="1:14" x14ac:dyDescent="0.2">
      <c r="B174" s="23"/>
      <c r="C174" s="18" t="s">
        <v>88</v>
      </c>
      <c r="D174" s="15">
        <v>44</v>
      </c>
      <c r="E174" s="15">
        <v>45.5</v>
      </c>
      <c r="F174" s="15">
        <v>50.6</v>
      </c>
      <c r="G174" s="15">
        <v>54.2</v>
      </c>
      <c r="H174" s="50">
        <v>0.45300000000000001</v>
      </c>
      <c r="I174" s="15">
        <v>39.1</v>
      </c>
    </row>
    <row r="176" spans="1:14" x14ac:dyDescent="0.2">
      <c r="A176" s="20">
        <v>45413</v>
      </c>
      <c r="C176" s="12" t="s">
        <v>122</v>
      </c>
      <c r="D176" s="10">
        <v>3</v>
      </c>
      <c r="E176" s="10">
        <v>4</v>
      </c>
      <c r="F176" s="10">
        <v>5</v>
      </c>
      <c r="G176" s="10">
        <v>2</v>
      </c>
      <c r="H176" s="25">
        <f>SUM(D176:G176)+(I176+J176+K176+L176+M176+N176)</f>
        <v>14</v>
      </c>
      <c r="I176" s="10"/>
    </row>
    <row r="177" spans="1:9" x14ac:dyDescent="0.2">
      <c r="A177" s="10" t="s">
        <v>59</v>
      </c>
      <c r="C177" s="12" t="s">
        <v>124</v>
      </c>
      <c r="D177" s="10">
        <v>0</v>
      </c>
      <c r="E177" s="10">
        <v>1</v>
      </c>
      <c r="F177" s="10">
        <v>3</v>
      </c>
      <c r="G177" s="10">
        <v>2</v>
      </c>
      <c r="H177" s="25">
        <f>SUM(D177:G177)+J177+(I177+K177+L177+M177+N177)</f>
        <v>6</v>
      </c>
      <c r="I177" s="10"/>
    </row>
    <row r="178" spans="1:9" x14ac:dyDescent="0.2">
      <c r="A178" s="10" t="s">
        <v>123</v>
      </c>
      <c r="B178" s="21"/>
      <c r="C178" s="22" t="s">
        <v>122</v>
      </c>
      <c r="D178" s="13">
        <v>55.5</v>
      </c>
      <c r="E178" s="13">
        <v>61.5</v>
      </c>
      <c r="F178" s="13">
        <v>56.3</v>
      </c>
      <c r="G178" s="13">
        <v>62.7</v>
      </c>
      <c r="H178" s="49">
        <v>0.59</v>
      </c>
      <c r="I178" s="13"/>
    </row>
    <row r="179" spans="1:9" x14ac:dyDescent="0.2">
      <c r="B179" s="23"/>
      <c r="C179" s="18" t="s">
        <v>124</v>
      </c>
      <c r="D179" s="15">
        <v>44.5</v>
      </c>
      <c r="E179" s="15">
        <v>38.5</v>
      </c>
      <c r="F179" s="15">
        <v>43.7</v>
      </c>
      <c r="G179" s="15">
        <v>37.299999999999997</v>
      </c>
      <c r="H179" s="50">
        <v>0.41</v>
      </c>
      <c r="I179" s="15"/>
    </row>
    <row r="181" spans="1:9" x14ac:dyDescent="0.2">
      <c r="A181" s="20">
        <v>45413</v>
      </c>
      <c r="C181" s="12" t="s">
        <v>122</v>
      </c>
      <c r="D181" s="10">
        <v>0</v>
      </c>
      <c r="E181" s="10">
        <v>5</v>
      </c>
      <c r="F181" s="10">
        <v>3</v>
      </c>
      <c r="G181" s="10">
        <v>3</v>
      </c>
      <c r="H181" s="25">
        <f>SUM(D181:G181)+(I181+J181+K181+L181+M181+N181)</f>
        <v>11</v>
      </c>
      <c r="I181" s="10"/>
    </row>
    <row r="182" spans="1:9" x14ac:dyDescent="0.2">
      <c r="A182" s="10" t="s">
        <v>59</v>
      </c>
      <c r="C182" s="12" t="s">
        <v>125</v>
      </c>
      <c r="D182" s="10">
        <v>4</v>
      </c>
      <c r="E182" s="10">
        <v>1</v>
      </c>
      <c r="F182" s="10">
        <v>2</v>
      </c>
      <c r="G182" s="10">
        <v>3</v>
      </c>
      <c r="H182" s="25">
        <f>SUM(D182:G182)+J182+(I182+K182+L182+M182+N182)</f>
        <v>10</v>
      </c>
      <c r="I182" s="10"/>
    </row>
    <row r="183" spans="1:9" x14ac:dyDescent="0.2">
      <c r="A183" s="10" t="s">
        <v>123</v>
      </c>
      <c r="B183" s="21"/>
      <c r="C183" s="22" t="s">
        <v>122</v>
      </c>
      <c r="D183" s="13">
        <v>63.2</v>
      </c>
      <c r="E183" s="13">
        <v>76.7</v>
      </c>
      <c r="F183" s="13">
        <v>78.7</v>
      </c>
      <c r="G183" s="13">
        <v>72.2</v>
      </c>
      <c r="H183" s="49">
        <v>0.72599999999999998</v>
      </c>
      <c r="I183" s="13"/>
    </row>
    <row r="184" spans="1:9" x14ac:dyDescent="0.2">
      <c r="B184" s="23"/>
      <c r="C184" s="18" t="s">
        <v>125</v>
      </c>
      <c r="D184" s="15">
        <v>36.799999999999997</v>
      </c>
      <c r="E184" s="15">
        <v>23.3</v>
      </c>
      <c r="F184" s="15">
        <v>21.3</v>
      </c>
      <c r="G184" s="15">
        <v>27.8</v>
      </c>
      <c r="H184" s="50">
        <v>0.27400000000000002</v>
      </c>
      <c r="I184" s="15"/>
    </row>
    <row r="185" spans="1:9" x14ac:dyDescent="0.2">
      <c r="I185" s="10" t="s">
        <v>128</v>
      </c>
    </row>
    <row r="186" spans="1:9" x14ac:dyDescent="0.2">
      <c r="A186" s="20">
        <v>45419</v>
      </c>
      <c r="C186" s="12" t="s">
        <v>122</v>
      </c>
      <c r="D186" s="10">
        <v>1</v>
      </c>
      <c r="E186" s="10">
        <v>0</v>
      </c>
      <c r="F186" s="10">
        <v>6</v>
      </c>
      <c r="G186" s="10">
        <v>1</v>
      </c>
      <c r="H186" s="25">
        <f>SUM(D186:G186)+(I186+J186+K186+L186+M186+N186)</f>
        <v>8</v>
      </c>
      <c r="I186" s="10"/>
    </row>
    <row r="187" spans="1:9" x14ac:dyDescent="0.2">
      <c r="A187" s="10" t="s">
        <v>60</v>
      </c>
      <c r="C187" s="12" t="s">
        <v>114</v>
      </c>
      <c r="D187" s="10">
        <v>4</v>
      </c>
      <c r="E187" s="10">
        <v>1</v>
      </c>
      <c r="F187" s="10">
        <v>0</v>
      </c>
      <c r="G187" s="10">
        <v>3</v>
      </c>
      <c r="H187" s="25">
        <f>SUM(D187:G187)+J187+(I187+K187+L187+M187+N187)</f>
        <v>9</v>
      </c>
      <c r="I187" s="10">
        <v>1</v>
      </c>
    </row>
    <row r="188" spans="1:9" x14ac:dyDescent="0.2">
      <c r="A188" s="10" t="s">
        <v>123</v>
      </c>
      <c r="B188" s="21"/>
      <c r="C188" s="22" t="s">
        <v>122</v>
      </c>
      <c r="D188" s="13">
        <v>51.6</v>
      </c>
      <c r="E188" s="13">
        <v>39.9</v>
      </c>
      <c r="F188" s="13">
        <v>72.5</v>
      </c>
      <c r="G188" s="13">
        <v>58.1</v>
      </c>
      <c r="H188" s="49">
        <v>0.52200000000000002</v>
      </c>
      <c r="I188" s="13"/>
    </row>
    <row r="189" spans="1:9" x14ac:dyDescent="0.2">
      <c r="B189" s="23"/>
      <c r="C189" s="18" t="s">
        <v>114</v>
      </c>
      <c r="D189" s="15">
        <v>48.4</v>
      </c>
      <c r="E189" s="15">
        <v>60.1</v>
      </c>
      <c r="F189" s="15">
        <v>27.5</v>
      </c>
      <c r="G189" s="15">
        <v>41.9</v>
      </c>
      <c r="H189" s="50">
        <v>0.47799999999999998</v>
      </c>
      <c r="I189" s="15"/>
    </row>
  </sheetData>
  <sheetProtection algorithmName="SHA-512" hashValue="HMXuucIQACUj0LEOYgi28/n4t5EAM6nYcm02Qw8WYVJJnOVa2K1sDw/jX9pPPzTQneCH9+eZu1yHjyErmbcKTQ==" saltValue="vN2l70Vrf3ZM+xm4VrCQRQ==" spinCount="100000" sheet="1" objects="1" scenarios="1"/>
  <sortState xmlns:xlrd2="http://schemas.microsoft.com/office/spreadsheetml/2017/richdata2" ref="A3:O30">
    <sortCondition ref="B3:B30" customList="A,M,D"/>
  </sortState>
  <pageMargins left="0.25" right="0.25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twetherb</dc:creator>
  <cp:lastModifiedBy>Tom Wetherby</cp:lastModifiedBy>
  <cp:lastPrinted>2018-05-22T18:34:00Z</cp:lastPrinted>
  <dcterms:created xsi:type="dcterms:W3CDTF">2013-03-19T12:42:01Z</dcterms:created>
  <dcterms:modified xsi:type="dcterms:W3CDTF">2026-07-23T19:59:25Z</dcterms:modified>
</cp:coreProperties>
</file>