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Stats and Rosters/"/>
    </mc:Choice>
  </mc:AlternateContent>
  <xr:revisionPtr revIDLastSave="0" documentId="8_{767909AB-D661-6A4A-9206-30567C2FAEFA}" xr6:coauthVersionLast="47" xr6:coauthVersionMax="47" xr10:uidLastSave="{00000000-0000-0000-0000-000000000000}"/>
  <bookViews>
    <workbookView xWindow="0" yWindow="1680" windowWidth="34560" windowHeight="192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7" i="1" l="1"/>
  <c r="X8" i="1"/>
  <c r="H3" i="1"/>
  <c r="X7" i="1"/>
  <c r="N55" i="1" l="1"/>
  <c r="S38" i="1" l="1"/>
  <c r="R38" i="1"/>
  <c r="Q38" i="1"/>
  <c r="P38" i="1"/>
  <c r="L38" i="1"/>
  <c r="H38" i="1"/>
  <c r="G38" i="1"/>
  <c r="F38" i="1"/>
  <c r="E38" i="1"/>
  <c r="S37" i="1"/>
  <c r="R37" i="1"/>
  <c r="Q37" i="1"/>
  <c r="P37" i="1"/>
  <c r="L37" i="1"/>
  <c r="H37" i="1"/>
  <c r="G37" i="1"/>
  <c r="F37" i="1"/>
  <c r="E37" i="1"/>
  <c r="S35" i="1"/>
  <c r="R35" i="1"/>
  <c r="Q35" i="1"/>
  <c r="P35" i="1"/>
  <c r="L35" i="1"/>
  <c r="H35" i="1"/>
  <c r="G35" i="1"/>
  <c r="F35" i="1"/>
  <c r="E35" i="1"/>
  <c r="S34" i="1"/>
  <c r="R34" i="1"/>
  <c r="Q34" i="1"/>
  <c r="P34" i="1"/>
  <c r="L34" i="1"/>
  <c r="H34" i="1"/>
  <c r="G34" i="1"/>
  <c r="F34" i="1"/>
  <c r="E34" i="1"/>
  <c r="S33" i="1"/>
  <c r="R33" i="1"/>
  <c r="Q33" i="1"/>
  <c r="P33" i="1"/>
  <c r="L33" i="1"/>
  <c r="H33" i="1"/>
  <c r="G33" i="1"/>
  <c r="F33" i="1"/>
  <c r="E33" i="1"/>
  <c r="S32" i="1"/>
  <c r="R32" i="1"/>
  <c r="Q32" i="1"/>
  <c r="P32" i="1"/>
  <c r="L32" i="1"/>
  <c r="H32" i="1"/>
  <c r="G32" i="1"/>
  <c r="F32" i="1"/>
  <c r="E32" i="1"/>
  <c r="S31" i="1"/>
  <c r="R31" i="1"/>
  <c r="Q31" i="1"/>
  <c r="P31" i="1"/>
  <c r="L31" i="1"/>
  <c r="H31" i="1"/>
  <c r="G31" i="1"/>
  <c r="F31" i="1"/>
  <c r="E31" i="1"/>
  <c r="S30" i="1"/>
  <c r="R30" i="1"/>
  <c r="Q30" i="1"/>
  <c r="P30" i="1"/>
  <c r="L30" i="1"/>
  <c r="H30" i="1"/>
  <c r="G30" i="1"/>
  <c r="F30" i="1"/>
  <c r="E30" i="1"/>
  <c r="E29" i="1"/>
  <c r="S28" i="1"/>
  <c r="R28" i="1"/>
  <c r="Q28" i="1"/>
  <c r="P28" i="1"/>
  <c r="N28" i="1"/>
  <c r="M28" i="1"/>
  <c r="L28" i="1"/>
  <c r="H28" i="1"/>
  <c r="G28" i="1"/>
  <c r="F28" i="1"/>
  <c r="E28" i="1"/>
  <c r="S27" i="1"/>
  <c r="R27" i="1"/>
  <c r="Q27" i="1"/>
  <c r="P27" i="1"/>
  <c r="L27" i="1"/>
  <c r="H27" i="1"/>
  <c r="G27" i="1"/>
  <c r="F27" i="1"/>
  <c r="E27" i="1"/>
  <c r="S26" i="1"/>
  <c r="R26" i="1"/>
  <c r="Q26" i="1"/>
  <c r="P26" i="1"/>
  <c r="N26" i="1"/>
  <c r="M26" i="1"/>
  <c r="L26" i="1"/>
  <c r="H26" i="1"/>
  <c r="G26" i="1"/>
  <c r="F26" i="1"/>
  <c r="E26" i="1"/>
  <c r="S25" i="1"/>
  <c r="R25" i="1"/>
  <c r="Q25" i="1"/>
  <c r="P25" i="1"/>
  <c r="L25" i="1"/>
  <c r="H25" i="1"/>
  <c r="G25" i="1"/>
  <c r="F25" i="1"/>
  <c r="E25" i="1"/>
  <c r="S24" i="1"/>
  <c r="R24" i="1"/>
  <c r="Q24" i="1"/>
  <c r="P24" i="1"/>
  <c r="N24" i="1"/>
  <c r="M24" i="1"/>
  <c r="L24" i="1"/>
  <c r="H24" i="1"/>
  <c r="G24" i="1"/>
  <c r="F24" i="1"/>
  <c r="E24" i="1"/>
  <c r="S23" i="1"/>
  <c r="R23" i="1"/>
  <c r="Q23" i="1"/>
  <c r="P23" i="1"/>
  <c r="L23" i="1"/>
  <c r="H23" i="1"/>
  <c r="G23" i="1"/>
  <c r="F23" i="1"/>
  <c r="E23" i="1"/>
  <c r="L22" i="1"/>
  <c r="S22" i="1"/>
  <c r="R22" i="1"/>
  <c r="Q22" i="1"/>
  <c r="P22" i="1"/>
  <c r="H22" i="1"/>
  <c r="G22" i="1"/>
  <c r="F22" i="1"/>
  <c r="E22" i="1"/>
  <c r="S21" i="1"/>
  <c r="R21" i="1"/>
  <c r="Q21" i="1"/>
  <c r="P21" i="1"/>
  <c r="L21" i="1"/>
  <c r="H21" i="1"/>
  <c r="G21" i="1"/>
  <c r="F21" i="1"/>
  <c r="E21" i="1"/>
  <c r="S20" i="1"/>
  <c r="R20" i="1"/>
  <c r="Q20" i="1"/>
  <c r="P20" i="1"/>
  <c r="L20" i="1"/>
  <c r="H20" i="1"/>
  <c r="G20" i="1"/>
  <c r="F20" i="1"/>
  <c r="E20" i="1"/>
  <c r="S19" i="1"/>
  <c r="R19" i="1"/>
  <c r="Q19" i="1"/>
  <c r="P19" i="1"/>
  <c r="L19" i="1"/>
  <c r="H19" i="1"/>
  <c r="G19" i="1"/>
  <c r="F19" i="1"/>
  <c r="E19" i="1"/>
  <c r="S18" i="1"/>
  <c r="R18" i="1"/>
  <c r="Q18" i="1"/>
  <c r="P18" i="1"/>
  <c r="N18" i="1"/>
  <c r="M18" i="1"/>
  <c r="L18" i="1"/>
  <c r="H18" i="1"/>
  <c r="G18" i="1"/>
  <c r="F18" i="1"/>
  <c r="E18" i="1"/>
  <c r="S17" i="1"/>
  <c r="R17" i="1"/>
  <c r="Q17" i="1"/>
  <c r="P17" i="1"/>
  <c r="L17" i="1"/>
  <c r="H17" i="1"/>
  <c r="G17" i="1"/>
  <c r="F17" i="1"/>
  <c r="E17" i="1"/>
  <c r="S16" i="1"/>
  <c r="R16" i="1"/>
  <c r="Q16" i="1"/>
  <c r="P16" i="1"/>
  <c r="L16" i="1"/>
  <c r="H16" i="1"/>
  <c r="G16" i="1"/>
  <c r="F16" i="1"/>
  <c r="E16" i="1"/>
  <c r="S15" i="1"/>
  <c r="R15" i="1"/>
  <c r="Q15" i="1"/>
  <c r="P15" i="1"/>
  <c r="L15" i="1"/>
  <c r="H15" i="1"/>
  <c r="G15" i="1"/>
  <c r="F15" i="1"/>
  <c r="E15" i="1"/>
  <c r="S14" i="1"/>
  <c r="R14" i="1"/>
  <c r="Q14" i="1"/>
  <c r="P14" i="1"/>
  <c r="N14" i="1"/>
  <c r="M14" i="1"/>
  <c r="L14" i="1"/>
  <c r="H14" i="1"/>
  <c r="G14" i="1"/>
  <c r="F14" i="1"/>
  <c r="E14" i="1"/>
  <c r="S13" i="1"/>
  <c r="R13" i="1"/>
  <c r="Q13" i="1"/>
  <c r="P13" i="1"/>
  <c r="L13" i="1"/>
  <c r="H13" i="1"/>
  <c r="G13" i="1"/>
  <c r="F13" i="1"/>
  <c r="E13" i="1"/>
  <c r="S12" i="1"/>
  <c r="R12" i="1"/>
  <c r="Q12" i="1"/>
  <c r="P12" i="1"/>
  <c r="L12" i="1"/>
  <c r="H12" i="1"/>
  <c r="G12" i="1"/>
  <c r="F12" i="1"/>
  <c r="E12" i="1"/>
  <c r="S11" i="1"/>
  <c r="R11" i="1"/>
  <c r="Q11" i="1"/>
  <c r="P11" i="1"/>
  <c r="L11" i="1"/>
  <c r="I11" i="1"/>
  <c r="H11" i="1"/>
  <c r="G11" i="1"/>
  <c r="F11" i="1"/>
  <c r="E11" i="1"/>
  <c r="S9" i="1"/>
  <c r="R9" i="1"/>
  <c r="Q9" i="1"/>
  <c r="P9" i="1"/>
  <c r="L9" i="1"/>
  <c r="H9" i="1"/>
  <c r="G9" i="1"/>
  <c r="F9" i="1"/>
  <c r="E9" i="1"/>
  <c r="S8" i="1"/>
  <c r="R8" i="1"/>
  <c r="Q8" i="1"/>
  <c r="P8" i="1"/>
  <c r="L8" i="1"/>
  <c r="H8" i="1"/>
  <c r="G8" i="1"/>
  <c r="F8" i="1"/>
  <c r="E8" i="1"/>
  <c r="S7" i="1"/>
  <c r="R7" i="1"/>
  <c r="Q7" i="1"/>
  <c r="P7" i="1"/>
  <c r="L7" i="1"/>
  <c r="H7" i="1"/>
  <c r="G7" i="1"/>
  <c r="F7" i="1"/>
  <c r="E7" i="1"/>
  <c r="S6" i="1"/>
  <c r="R6" i="1"/>
  <c r="Q6" i="1"/>
  <c r="P6" i="1"/>
  <c r="L6" i="1"/>
  <c r="H6" i="1"/>
  <c r="G6" i="1"/>
  <c r="F6" i="1"/>
  <c r="E6" i="1"/>
  <c r="S5" i="1"/>
  <c r="R5" i="1"/>
  <c r="Q5" i="1"/>
  <c r="P5" i="1"/>
  <c r="L5" i="1"/>
  <c r="H5" i="1"/>
  <c r="G5" i="1"/>
  <c r="F5" i="1"/>
  <c r="E5" i="1"/>
  <c r="S4" i="1"/>
  <c r="R4" i="1"/>
  <c r="Q4" i="1"/>
  <c r="P4" i="1"/>
  <c r="L4" i="1"/>
  <c r="H4" i="1"/>
  <c r="G4" i="1"/>
  <c r="F4" i="1"/>
  <c r="E4" i="1"/>
  <c r="S3" i="1"/>
  <c r="R3" i="1"/>
  <c r="Q3" i="1"/>
  <c r="P3" i="1"/>
  <c r="L3" i="1"/>
  <c r="I3" i="1"/>
  <c r="G3" i="1"/>
  <c r="F3" i="1"/>
  <c r="E3" i="1"/>
  <c r="F52" i="1"/>
  <c r="E52" i="1"/>
  <c r="F58" i="1"/>
  <c r="E58" i="1"/>
  <c r="F62" i="1"/>
  <c r="E62" i="1"/>
  <c r="F61" i="1"/>
  <c r="E61" i="1"/>
  <c r="F55" i="1"/>
  <c r="E55" i="1"/>
  <c r="O48" i="1"/>
  <c r="N48" i="1"/>
  <c r="I47" i="1"/>
  <c r="I48" i="1"/>
  <c r="F48" i="1"/>
  <c r="E48" i="1"/>
  <c r="F47" i="1"/>
  <c r="E47" i="1"/>
  <c r="N62" i="1"/>
  <c r="N65" i="1"/>
  <c r="F65" i="1"/>
  <c r="D65" i="1"/>
  <c r="F10" i="1" l="1"/>
  <c r="F29" i="1"/>
  <c r="F44" i="1" l="1"/>
  <c r="F45" i="1" s="1"/>
  <c r="K38" i="1"/>
  <c r="K37" i="1"/>
  <c r="K35" i="1"/>
  <c r="K34" i="1"/>
  <c r="K33" i="1"/>
  <c r="K32" i="1"/>
  <c r="K31" i="1"/>
  <c r="K30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3" i="1"/>
  <c r="K12" i="1"/>
  <c r="K11" i="1"/>
  <c r="K9" i="1"/>
  <c r="K8" i="1"/>
  <c r="K6" i="1"/>
  <c r="K5" i="1"/>
  <c r="K4" i="1"/>
  <c r="N49" i="1"/>
  <c r="H190" i="1"/>
  <c r="H189" i="1"/>
  <c r="E10" i="1"/>
  <c r="I14" i="1" l="1"/>
  <c r="K14" i="1"/>
  <c r="K3" i="1"/>
  <c r="I7" i="1"/>
  <c r="K7" i="1"/>
  <c r="I20" i="1"/>
  <c r="S39" i="1"/>
  <c r="R39" i="1"/>
  <c r="Q39" i="1"/>
  <c r="P39" i="1"/>
  <c r="L39" i="1"/>
  <c r="H39" i="1"/>
  <c r="G39" i="1"/>
  <c r="K39" i="1" s="1"/>
  <c r="E39" i="1"/>
  <c r="I49" i="1"/>
  <c r="F49" i="1"/>
  <c r="E49" i="1"/>
  <c r="J30" i="1"/>
  <c r="I32" i="1"/>
  <c r="I25" i="1"/>
  <c r="I23" i="1"/>
  <c r="I19" i="1"/>
  <c r="H47" i="1"/>
  <c r="T11" i="1"/>
  <c r="O28" i="1" l="1"/>
  <c r="H145" i="1"/>
  <c r="H95" i="1" l="1"/>
  <c r="G29" i="1" l="1"/>
  <c r="I22" i="1"/>
  <c r="I16" i="1"/>
  <c r="I8" i="1"/>
  <c r="T8" i="1" s="1"/>
  <c r="H139" i="1"/>
  <c r="S29" i="1"/>
  <c r="R29" i="1"/>
  <c r="Q29" i="1"/>
  <c r="P29" i="1"/>
  <c r="L29" i="1"/>
  <c r="H29" i="1"/>
  <c r="I29" i="1" s="1"/>
  <c r="I17" i="1"/>
  <c r="U25" i="1"/>
  <c r="T25" i="1"/>
  <c r="J25" i="1"/>
  <c r="U11" i="1"/>
  <c r="J11" i="1"/>
  <c r="J29" i="1" l="1"/>
  <c r="K29" i="1"/>
  <c r="U29" i="1"/>
  <c r="T29" i="1"/>
  <c r="I34" i="1"/>
  <c r="S10" i="1"/>
  <c r="R10" i="1"/>
  <c r="Q10" i="1"/>
  <c r="P10" i="1"/>
  <c r="L10" i="1"/>
  <c r="H10" i="1"/>
  <c r="G10" i="1"/>
  <c r="H130" i="1"/>
  <c r="I10" i="1" l="1"/>
  <c r="K10" i="1"/>
  <c r="I24" i="1"/>
  <c r="O24" i="1"/>
  <c r="H49" i="1"/>
  <c r="G49" i="1"/>
  <c r="I15" i="1" l="1"/>
  <c r="I9" i="1"/>
  <c r="I18" i="1"/>
  <c r="O26" i="1" l="1"/>
  <c r="I35" i="1"/>
  <c r="I21" i="1"/>
  <c r="K49" i="1" l="1"/>
  <c r="K48" i="1"/>
  <c r="K47" i="1"/>
  <c r="G62" i="1" l="1"/>
  <c r="T24" i="1"/>
  <c r="J24" i="1"/>
  <c r="I5" i="1"/>
  <c r="H89" i="1"/>
  <c r="U24" i="1" l="1"/>
  <c r="G48" i="1"/>
  <c r="P55" i="1"/>
  <c r="P62" i="1"/>
  <c r="P65" i="1"/>
  <c r="H48" i="1"/>
  <c r="H129" i="1"/>
  <c r="J35" i="1" l="1"/>
  <c r="U35" i="1"/>
  <c r="O14" i="1"/>
  <c r="O18" i="1"/>
  <c r="D66" i="1"/>
  <c r="T35" i="1" l="1"/>
  <c r="U34" i="1" l="1"/>
  <c r="J34" i="1"/>
  <c r="J7" i="1"/>
  <c r="J19" i="1"/>
  <c r="T7" i="1"/>
  <c r="I39" i="1"/>
  <c r="J39" i="1"/>
  <c r="I4" i="1"/>
  <c r="H144" i="1"/>
  <c r="U39" i="1" l="1"/>
  <c r="T39" i="1"/>
  <c r="U19" i="1"/>
  <c r="T19" i="1"/>
  <c r="U7" i="1"/>
  <c r="T34" i="1"/>
  <c r="J26" i="1"/>
  <c r="J18" i="1" l="1"/>
  <c r="J14" i="1"/>
  <c r="U18" i="1" l="1"/>
  <c r="U14" i="1"/>
  <c r="T18" i="1"/>
  <c r="O49" i="1"/>
  <c r="T14" i="1" l="1"/>
  <c r="U20" i="1"/>
  <c r="I13" i="1"/>
  <c r="U4" i="1"/>
  <c r="J38" i="1"/>
  <c r="I38" i="1"/>
  <c r="J20" i="1"/>
  <c r="J9" i="1"/>
  <c r="U9" i="1"/>
  <c r="J4" i="1"/>
  <c r="H185" i="1"/>
  <c r="H184" i="1"/>
  <c r="T38" i="1" l="1"/>
  <c r="U38" i="1"/>
  <c r="T9" i="1"/>
  <c r="T20" i="1"/>
  <c r="T4" i="1"/>
  <c r="I27" i="1" l="1"/>
  <c r="U27" i="1" s="1"/>
  <c r="H180" i="1"/>
  <c r="H179" i="1"/>
  <c r="H175" i="1"/>
  <c r="H174" i="1"/>
  <c r="I31" i="1"/>
  <c r="T31" i="1" s="1"/>
  <c r="J31" i="1"/>
  <c r="I30" i="1"/>
  <c r="H170" i="1"/>
  <c r="H169" i="1"/>
  <c r="U31" i="1" l="1"/>
  <c r="H164" i="1"/>
  <c r="H165" i="1"/>
  <c r="H159" i="1"/>
  <c r="I28" i="1"/>
  <c r="I26" i="1"/>
  <c r="I12" i="1"/>
  <c r="G47" i="1" l="1"/>
  <c r="I37" i="1" l="1"/>
  <c r="T37" i="1" l="1"/>
  <c r="U37" i="1"/>
  <c r="T23" i="1"/>
  <c r="T15" i="1" l="1"/>
  <c r="T26" i="1" l="1"/>
  <c r="I6" i="1" l="1"/>
  <c r="H150" i="1"/>
  <c r="H149" i="1"/>
  <c r="H105" i="1"/>
  <c r="H104" i="1"/>
  <c r="T30" i="1"/>
  <c r="J5" i="1"/>
  <c r="J16" i="1"/>
  <c r="J3" i="1" l="1"/>
  <c r="J37" i="1"/>
  <c r="T3" i="1" l="1"/>
  <c r="T27" i="1"/>
  <c r="T21" i="1"/>
  <c r="U5" i="1" l="1"/>
  <c r="I33" i="1"/>
  <c r="U33" i="1" s="1"/>
  <c r="J33" i="1"/>
  <c r="T33" i="1" l="1"/>
  <c r="T28" i="1" l="1"/>
  <c r="J27" i="1" l="1"/>
  <c r="H75" i="1"/>
  <c r="H74" i="1"/>
  <c r="J32" i="1" l="1"/>
  <c r="J28" i="1"/>
  <c r="J23" i="1"/>
  <c r="J21" i="1"/>
  <c r="J6" i="1" l="1"/>
  <c r="J22" i="1"/>
  <c r="J15" i="1"/>
  <c r="J8" i="1"/>
  <c r="J10" i="1"/>
  <c r="J12" i="1"/>
  <c r="J13" i="1"/>
  <c r="J17" i="1"/>
  <c r="H160" i="1" l="1"/>
  <c r="T5" i="1" l="1"/>
  <c r="H80" i="1" l="1"/>
  <c r="H79" i="1"/>
  <c r="S44" i="1" l="1"/>
  <c r="S45" i="1" l="1"/>
  <c r="U13" i="1"/>
  <c r="U6" i="1"/>
  <c r="T13" i="1" l="1"/>
  <c r="T6" i="1"/>
  <c r="U15" i="1"/>
  <c r="U28" i="1" l="1"/>
  <c r="U8" i="1" l="1"/>
  <c r="U26" i="1" l="1"/>
  <c r="U3" i="1" l="1"/>
  <c r="H155" i="1" l="1"/>
  <c r="H154" i="1"/>
  <c r="H140" i="1"/>
  <c r="H135" i="1"/>
  <c r="H134" i="1"/>
  <c r="H115" i="1"/>
  <c r="H114" i="1"/>
  <c r="H110" i="1"/>
  <c r="H109" i="1"/>
  <c r="H120" i="1"/>
  <c r="H119" i="1"/>
  <c r="H125" i="1"/>
  <c r="H124" i="1"/>
  <c r="H100" i="1"/>
  <c r="H99" i="1"/>
  <c r="H94" i="1"/>
  <c r="H90" i="1"/>
  <c r="H85" i="1"/>
  <c r="H84" i="1"/>
  <c r="E44" i="1"/>
  <c r="M44" i="1"/>
  <c r="N44" i="1"/>
  <c r="Q44" i="1"/>
  <c r="Q45" i="1" s="1"/>
  <c r="G61" i="1"/>
  <c r="G58" i="1"/>
  <c r="G55" i="1"/>
  <c r="G52" i="1"/>
  <c r="R44" i="1"/>
  <c r="G44" i="1"/>
  <c r="H44" i="1"/>
  <c r="P44" i="1"/>
  <c r="P45" i="1" s="1"/>
  <c r="F66" i="1"/>
  <c r="L44" i="1"/>
  <c r="L45" i="1" s="1"/>
  <c r="S55" i="1" l="1"/>
  <c r="K44" i="1"/>
  <c r="R55" i="1"/>
  <c r="T55" i="1"/>
  <c r="I45" i="1"/>
  <c r="E45" i="1"/>
  <c r="H45" i="1"/>
  <c r="G45" i="1"/>
  <c r="R45" i="1"/>
  <c r="J44" i="1"/>
  <c r="T32" i="1"/>
  <c r="U32" i="1"/>
  <c r="U30" i="1"/>
  <c r="U12" i="1"/>
  <c r="T12" i="1"/>
  <c r="U23" i="1"/>
  <c r="U22" i="1"/>
  <c r="T22" i="1"/>
  <c r="T17" i="1"/>
  <c r="U17" i="1"/>
  <c r="T10" i="1"/>
  <c r="U10" i="1"/>
  <c r="T16" i="1"/>
  <c r="U16" i="1"/>
  <c r="U21" i="1"/>
  <c r="O44" i="1"/>
</calcChain>
</file>

<file path=xl/sharedStrings.xml><?xml version="1.0" encoding="utf-8"?>
<sst xmlns="http://schemas.openxmlformats.org/spreadsheetml/2006/main" count="302" uniqueCount="138">
  <si>
    <t>Name</t>
  </si>
  <si>
    <t>GP</t>
  </si>
  <si>
    <t>Goals</t>
  </si>
  <si>
    <t>Assists</t>
  </si>
  <si>
    <t>Points</t>
  </si>
  <si>
    <t>Shots</t>
  </si>
  <si>
    <t>Ground balls</t>
  </si>
  <si>
    <t>FOW</t>
  </si>
  <si>
    <t>Penalties</t>
  </si>
  <si>
    <t>Minutes</t>
  </si>
  <si>
    <t>Games Started</t>
  </si>
  <si>
    <t>Saves</t>
  </si>
  <si>
    <t xml:space="preserve">Team: </t>
  </si>
  <si>
    <t>Goals For</t>
  </si>
  <si>
    <t>Goals Against</t>
  </si>
  <si>
    <t>Total:</t>
  </si>
  <si>
    <t>Per Game:</t>
  </si>
  <si>
    <t>Record:</t>
  </si>
  <si>
    <t>Ties: 0</t>
  </si>
  <si>
    <t>Clears:</t>
  </si>
  <si>
    <t>Successful</t>
  </si>
  <si>
    <t>Unsuccessful</t>
  </si>
  <si>
    <t>Extra Man Opps:</t>
  </si>
  <si>
    <t>Scored</t>
  </si>
  <si>
    <t>Failed</t>
  </si>
  <si>
    <t>Opponents Extra Man Opps:</t>
  </si>
  <si>
    <t>FO Attempts</t>
  </si>
  <si>
    <t>Opponent Clears:</t>
  </si>
  <si>
    <t>FOW %</t>
  </si>
  <si>
    <t>Games</t>
  </si>
  <si>
    <t>Totals:</t>
  </si>
  <si>
    <t>Opponents penalties:</t>
  </si>
  <si>
    <t>Turnovers</t>
  </si>
  <si>
    <t>Jersey #</t>
  </si>
  <si>
    <t>Pos</t>
  </si>
  <si>
    <t>A</t>
  </si>
  <si>
    <t>M</t>
  </si>
  <si>
    <t>D</t>
  </si>
  <si>
    <t>G</t>
  </si>
  <si>
    <t>%</t>
  </si>
  <si>
    <t>#</t>
  </si>
  <si>
    <t>Time</t>
  </si>
  <si>
    <t>Games:</t>
  </si>
  <si>
    <t>Athens Drive</t>
  </si>
  <si>
    <t>1st</t>
  </si>
  <si>
    <t>2nd</t>
  </si>
  <si>
    <t>3rd</t>
  </si>
  <si>
    <t>4th</t>
  </si>
  <si>
    <t>Total</t>
  </si>
  <si>
    <t>T.O.P.</t>
  </si>
  <si>
    <t>Opponents turnovers:</t>
  </si>
  <si>
    <t>Opponents shots on goal:</t>
  </si>
  <si>
    <t>Saves per game played</t>
  </si>
  <si>
    <t>Productivity ratio</t>
  </si>
  <si>
    <t>Per Game Contribution</t>
  </si>
  <si>
    <t>Shots on goal</t>
  </si>
  <si>
    <t>Save %</t>
  </si>
  <si>
    <t>D/LSM</t>
  </si>
  <si>
    <t>Home</t>
  </si>
  <si>
    <t>Away</t>
  </si>
  <si>
    <t>Caused T.O</t>
  </si>
  <si>
    <t>Shot %</t>
  </si>
  <si>
    <t>Position Rank</t>
  </si>
  <si>
    <t>Jack Danjczek</t>
  </si>
  <si>
    <t>Jay Cohn</t>
  </si>
  <si>
    <t>Bradyn Evans</t>
  </si>
  <si>
    <t>Harrison Baublitz</t>
  </si>
  <si>
    <t>Team</t>
  </si>
  <si>
    <t>Reiter Healey</t>
  </si>
  <si>
    <t>Hayes Clayton</t>
  </si>
  <si>
    <t>Danny Gelsinger</t>
  </si>
  <si>
    <t>Andrew Moore</t>
  </si>
  <si>
    <t>Brandon Patterson</t>
  </si>
  <si>
    <t xml:space="preserve">Athens Drive </t>
  </si>
  <si>
    <t>Michael Wirt</t>
  </si>
  <si>
    <t>Cole Andrews</t>
  </si>
  <si>
    <t>Holt Evenhouse</t>
  </si>
  <si>
    <t>Justin Stanert</t>
  </si>
  <si>
    <t>Gabe Sell</t>
  </si>
  <si>
    <t xml:space="preserve">D </t>
  </si>
  <si>
    <t>Greyson Deak</t>
  </si>
  <si>
    <t>Tripp Burney</t>
  </si>
  <si>
    <t>Mike Shook</t>
  </si>
  <si>
    <t>Dylan Dossary</t>
  </si>
  <si>
    <t>Sam Brewer</t>
  </si>
  <si>
    <t>Peirson Gard</t>
  </si>
  <si>
    <t>Tymon Kozlowski</t>
  </si>
  <si>
    <t>Sasha Stalhamer</t>
  </si>
  <si>
    <t>OT</t>
  </si>
  <si>
    <t>Ryan Hartmere</t>
  </si>
  <si>
    <t>Ethan Klein</t>
  </si>
  <si>
    <t>Liam Danjczek</t>
  </si>
  <si>
    <t>Max Schmidt</t>
  </si>
  <si>
    <t>Oliver Bestimt</t>
  </si>
  <si>
    <t>Francell Gonzalez</t>
  </si>
  <si>
    <t>Emre Kayalar</t>
  </si>
  <si>
    <t>Colin Murray</t>
  </si>
  <si>
    <t>Preston Holmes</t>
  </si>
  <si>
    <t>Colt Jackson</t>
  </si>
  <si>
    <t>Cary</t>
  </si>
  <si>
    <t>Willow Spring</t>
  </si>
  <si>
    <t>Apex</t>
  </si>
  <si>
    <t>Green Hope</t>
  </si>
  <si>
    <t>Fuquay Varina</t>
  </si>
  <si>
    <t>Millbrook</t>
  </si>
  <si>
    <t>Leesville</t>
  </si>
  <si>
    <t>Enloe</t>
  </si>
  <si>
    <t>Corinth Holders</t>
  </si>
  <si>
    <t>Bennett Darden</t>
  </si>
  <si>
    <t>(Goals Scored)</t>
  </si>
  <si>
    <t>(Man down scored)</t>
  </si>
  <si>
    <t>SOG</t>
  </si>
  <si>
    <t>Tot Shots</t>
  </si>
  <si>
    <t>Scoring on</t>
  </si>
  <si>
    <t>Total % of</t>
  </si>
  <si>
    <t>SOG of Tot</t>
  </si>
  <si>
    <t>Minutes Played</t>
  </si>
  <si>
    <t>Goals per game</t>
  </si>
  <si>
    <t>Per game</t>
  </si>
  <si>
    <t>Per game:</t>
  </si>
  <si>
    <t>Athens Shots on Goal:</t>
  </si>
  <si>
    <t>Rolesville</t>
  </si>
  <si>
    <t>Felton Grove</t>
  </si>
  <si>
    <t>Broughton</t>
  </si>
  <si>
    <t>Wakefield</t>
  </si>
  <si>
    <t>Green Level</t>
  </si>
  <si>
    <t>Milbrook</t>
  </si>
  <si>
    <t>Middle Creek</t>
  </si>
  <si>
    <t>41,2%</t>
  </si>
  <si>
    <t>Ryan Lamm</t>
  </si>
  <si>
    <t>Gus Hofheimer</t>
  </si>
  <si>
    <t>Jacob Klotz</t>
  </si>
  <si>
    <t>Assist per G</t>
  </si>
  <si>
    <t>Playoffs</t>
  </si>
  <si>
    <t>S.O.G.</t>
  </si>
  <si>
    <t>SOG %</t>
  </si>
  <si>
    <t>wins</t>
  </si>
  <si>
    <t>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</si>
</sst>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center"/>
    </xf>
    <xf numFmtId="46" fontId="0" fillId="0" borderId="0" xfId="0" applyNumberFormat="1"/>
    <xf numFmtId="0" fontId="0" fillId="0" borderId="1" xfId="0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20" fontId="0" fillId="0" borderId="0" xfId="0" applyNumberFormat="1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164" fontId="0" fillId="0" borderId="2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0" xfId="0" applyAlignment="1">
      <alignment horizontal="right"/>
    </xf>
    <xf numFmtId="164" fontId="0" fillId="0" borderId="0" xfId="1" applyNumberFormat="1" applyFont="1"/>
    <xf numFmtId="164" fontId="2" fillId="0" borderId="4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164" fontId="1" fillId="0" borderId="0" xfId="1" applyNumberFormat="1" applyFont="1" applyAlignment="1">
      <alignment horizontal="center"/>
    </xf>
    <xf numFmtId="164" fontId="0" fillId="0" borderId="1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/>
    </xf>
    <xf numFmtId="0" fontId="0" fillId="0" borderId="0" xfId="0" applyAlignment="1">
      <alignment horizontal="center" vertical="center"/>
    </xf>
    <xf numFmtId="9" fontId="0" fillId="0" borderId="2" xfId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1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2" fontId="0" fillId="4" borderId="0" xfId="0" applyNumberFormat="1" applyFill="1" applyAlignment="1">
      <alignment horizontal="center"/>
    </xf>
    <xf numFmtId="9" fontId="0" fillId="0" borderId="3" xfId="1" applyFont="1" applyBorder="1" applyAlignment="1">
      <alignment horizontal="center"/>
    </xf>
    <xf numFmtId="9" fontId="0" fillId="0" borderId="5" xfId="1" applyFont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9" fontId="2" fillId="0" borderId="4" xfId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9" fontId="0" fillId="0" borderId="0" xfId="1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2600"/>
      <color rgb="FFD5FC79"/>
      <color rgb="FF929292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92"/>
  <sheetViews>
    <sheetView tabSelected="1" workbookViewId="0">
      <selection activeCell="J28" sqref="J28"/>
    </sheetView>
  </sheetViews>
  <sheetFormatPr baseColWidth="10" defaultColWidth="8.83203125" defaultRowHeight="15" x14ac:dyDescent="0.2"/>
  <cols>
    <col min="1" max="1" width="9.6640625" style="10" bestFit="1" customWidth="1"/>
    <col min="2" max="2" width="5.83203125" style="10" customWidth="1"/>
    <col min="3" max="3" width="20.5" customWidth="1"/>
    <col min="4" max="6" width="11.5" customWidth="1"/>
    <col min="7" max="7" width="10.5" customWidth="1"/>
    <col min="9" max="9" width="10.6640625" bestFit="1" customWidth="1"/>
    <col min="10" max="11" width="10.5" customWidth="1"/>
    <col min="12" max="12" width="10.83203125" customWidth="1"/>
    <col min="13" max="13" width="10.5" customWidth="1"/>
    <col min="18" max="18" width="9.6640625" style="10" customWidth="1"/>
    <col min="19" max="19" width="8.83203125" style="10"/>
    <col min="20" max="20" width="11.5" style="10" hidden="1" customWidth="1"/>
    <col min="21" max="21" width="13.6640625" style="10" hidden="1" customWidth="1"/>
    <col min="22" max="22" width="0" style="10" hidden="1" customWidth="1"/>
    <col min="23" max="24" width="0" hidden="1" customWidth="1"/>
  </cols>
  <sheetData>
    <row r="2" spans="1:25" ht="27" x14ac:dyDescent="0.2">
      <c r="A2" s="15" t="s">
        <v>33</v>
      </c>
      <c r="B2" s="15" t="s">
        <v>34</v>
      </c>
      <c r="C2" s="1" t="s">
        <v>0</v>
      </c>
      <c r="D2" s="1" t="s">
        <v>1</v>
      </c>
      <c r="E2" s="1" t="s">
        <v>5</v>
      </c>
      <c r="F2" s="1" t="s">
        <v>134</v>
      </c>
      <c r="G2" s="1" t="s">
        <v>2</v>
      </c>
      <c r="H2" s="1" t="s">
        <v>3</v>
      </c>
      <c r="I2" s="1" t="s">
        <v>4</v>
      </c>
      <c r="J2" s="1" t="s">
        <v>61</v>
      </c>
      <c r="K2" s="1" t="s">
        <v>135</v>
      </c>
      <c r="L2" s="1" t="s">
        <v>6</v>
      </c>
      <c r="M2" s="1" t="s">
        <v>26</v>
      </c>
      <c r="N2" s="1" t="s">
        <v>7</v>
      </c>
      <c r="O2" s="1" t="s">
        <v>28</v>
      </c>
      <c r="P2" s="1" t="s">
        <v>8</v>
      </c>
      <c r="Q2" s="1" t="s">
        <v>9</v>
      </c>
      <c r="R2" s="1" t="s">
        <v>32</v>
      </c>
      <c r="S2" s="1" t="s">
        <v>60</v>
      </c>
      <c r="T2" s="28" t="s">
        <v>53</v>
      </c>
      <c r="U2" s="28" t="s">
        <v>54</v>
      </c>
      <c r="V2" s="28" t="s">
        <v>62</v>
      </c>
    </row>
    <row r="3" spans="1:25" x14ac:dyDescent="0.2">
      <c r="A3" s="10">
        <v>3</v>
      </c>
      <c r="B3" s="10" t="s">
        <v>35</v>
      </c>
      <c r="C3" s="70" t="s">
        <v>75</v>
      </c>
      <c r="D3" s="10">
        <v>4</v>
      </c>
      <c r="E3" s="10">
        <f>0+0+0+0+1+0+0+0+0+2+0+0+0+0+0+0+0+0+0+0+0+0+0+0</f>
        <v>3</v>
      </c>
      <c r="F3" s="10">
        <f>3+0</f>
        <v>3</v>
      </c>
      <c r="G3" s="10">
        <f>0+0+0+0+1+0+0+0+0+1+0+0+0+0+0+0+0+0+0+0+0+0+0+0</f>
        <v>2</v>
      </c>
      <c r="H3" s="10">
        <f>0+0+0+0+0+0+0+0+0+1+0+0+0+0+0+0+0+0+0+0+0+0+0+0</f>
        <v>1</v>
      </c>
      <c r="I3" s="10">
        <f t="shared" ref="I3:I12" si="0">G3+H3</f>
        <v>3</v>
      </c>
      <c r="J3" s="26">
        <f>G3/E3</f>
        <v>0.66666666666666663</v>
      </c>
      <c r="K3" s="26">
        <f>G3/F3</f>
        <v>0.66666666666666663</v>
      </c>
      <c r="L3" s="10">
        <f>0+0+0+0+1+0+0+0+0+3+0+0+0+0+0+0+0+0+0+0+0+0+0+0</f>
        <v>4</v>
      </c>
      <c r="M3" s="10"/>
      <c r="N3" s="10"/>
      <c r="O3" s="10"/>
      <c r="P3" s="10">
        <f>0+0+0+0+0+0+0+0+0+0+0+0+0+0+0+0+0+0+0+0+0+0+0+0</f>
        <v>0</v>
      </c>
      <c r="Q3" s="27">
        <f>0+0+0+0+0+0+0+0+0+0+0+0+0+0+0+0+0+0+0+0+0+0+0+0</f>
        <v>0</v>
      </c>
      <c r="R3" s="10">
        <f>1+0+0+0+0+0+0+0+0+3+0+0+0+0+0+0+0+0+0+0+0+0+0+0</f>
        <v>4</v>
      </c>
      <c r="S3" s="10">
        <f>0+0+0+0+0+0+0+0+0+0+0+0+0+0+0+0+0+0+0+0+0+0+0+0</f>
        <v>0</v>
      </c>
      <c r="T3" s="58">
        <f t="shared" ref="T3:T22" si="1">(L3+I3+S3)/(P3+R3)</f>
        <v>1.75</v>
      </c>
      <c r="U3" s="58">
        <f t="shared" ref="U3:U35" si="2">(I3+L3+S3-P3-R3)/D3</f>
        <v>0.75</v>
      </c>
      <c r="V3" s="38">
        <v>4</v>
      </c>
    </row>
    <row r="4" spans="1:25" x14ac:dyDescent="0.2">
      <c r="A4" s="10">
        <v>9</v>
      </c>
      <c r="B4" s="10" t="s">
        <v>35</v>
      </c>
      <c r="C4" s="70" t="s">
        <v>64</v>
      </c>
      <c r="D4" s="10">
        <v>23</v>
      </c>
      <c r="E4" s="10">
        <f>9+8+11+11+7+11+13+10+13+7+11+13+13+5+12+10+5+13+12+5+9+0+9+3</f>
        <v>220</v>
      </c>
      <c r="F4" s="10">
        <f>156+2</f>
        <v>158</v>
      </c>
      <c r="G4" s="10">
        <f>5+7+8+5+1+6+6+6+7+7+4+6+7+2+6+7+1+6+8+5+2+0+4+1</f>
        <v>117</v>
      </c>
      <c r="H4" s="10">
        <f>8+2+3+3+1+4+4+4+6+3+2+2+4+0+0+4+1+2+7+4+2+0+3+2</f>
        <v>71</v>
      </c>
      <c r="I4" s="10">
        <f t="shared" si="0"/>
        <v>188</v>
      </c>
      <c r="J4" s="26">
        <f>G4/E4</f>
        <v>0.53181818181818186</v>
      </c>
      <c r="K4" s="26">
        <f t="shared" ref="K4:K39" si="3">G4/F4</f>
        <v>0.740506329113924</v>
      </c>
      <c r="L4" s="10">
        <f>4+3+2+3+1+3+9+5+6+1+2+3+2+0+0+3+1+1+1+1+2+0+1+2</f>
        <v>56</v>
      </c>
      <c r="M4" s="10"/>
      <c r="N4" s="10"/>
      <c r="O4" s="10"/>
      <c r="P4" s="10">
        <f>1+1+1+0+0+1+0+1+1+0+0+0+1+1+0+0+0+0+0+0+2+0+0+1</f>
        <v>11</v>
      </c>
      <c r="Q4" s="27">
        <f>1+0.5+1+0+0+1+0+0.5+1+0+0+0+0.5+1+0+0+0+0+0+0+2.5+0+0+1</f>
        <v>10</v>
      </c>
      <c r="R4" s="10">
        <f>2+0+2+0+0+1+3+0+1+0+1+0+0+0+0+2+0+1+0+0+2+0+0+1</f>
        <v>16</v>
      </c>
      <c r="S4" s="10">
        <f>2+0+0+1+0+1+2+0+4+0+1+3+1+0+0+0+0+0+0+1+0+0+0+1</f>
        <v>17</v>
      </c>
      <c r="T4" s="58">
        <f t="shared" si="1"/>
        <v>9.6666666666666661</v>
      </c>
      <c r="U4" s="58">
        <f t="shared" si="2"/>
        <v>10.173913043478262</v>
      </c>
      <c r="V4" s="38">
        <v>1</v>
      </c>
    </row>
    <row r="5" spans="1:25" x14ac:dyDescent="0.2">
      <c r="A5" s="10">
        <v>14</v>
      </c>
      <c r="B5" s="10" t="s">
        <v>36</v>
      </c>
      <c r="C5" s="70" t="s">
        <v>65</v>
      </c>
      <c r="D5" s="10">
        <v>22</v>
      </c>
      <c r="E5" s="10">
        <f>2+4+0+7+6+8+4+5+0+3+7+4+2+3+0+0+1+6+2+1+1+3+6+4</f>
        <v>79</v>
      </c>
      <c r="F5" s="10">
        <f>60+4</f>
        <v>64</v>
      </c>
      <c r="G5" s="10">
        <f>2+3+0+3+3+4+3+2+0+2+4+0+2+0+0+0+0+2+1+0+1+1+4+2</f>
        <v>39</v>
      </c>
      <c r="H5" s="10">
        <f>1+0+2+1+1+0+0+0+0+1+1+1+1+0+0+0+0+1+0+4+2+0+2+2</f>
        <v>20</v>
      </c>
      <c r="I5" s="10">
        <f t="shared" si="0"/>
        <v>59</v>
      </c>
      <c r="J5" s="26">
        <f>G5/E5</f>
        <v>0.49367088607594939</v>
      </c>
      <c r="K5" s="26">
        <f t="shared" si="3"/>
        <v>0.609375</v>
      </c>
      <c r="L5" s="10">
        <f>1+5+1+6+4+3+3+2+0+2+4+3+1+5+1+0+0+9+4+8+1+3+2+4</f>
        <v>72</v>
      </c>
      <c r="M5" s="10"/>
      <c r="N5" s="10"/>
      <c r="O5" s="10"/>
      <c r="P5" s="10">
        <f>0+0+0+0+0+0+0+0+0+0+0+0+0+0+0+0+1+0+0+0+0+0+2+0+1+0</f>
        <v>4</v>
      </c>
      <c r="Q5" s="27">
        <f>0+0+0+0+0+0+0+0+0+0+0+0+0+0+1+0+0+0+0+0+1.5+0+1+0</f>
        <v>3.5</v>
      </c>
      <c r="R5" s="10">
        <f>1+3+1+0+1+1+1+0+0+0+1+0+2+2+3+0+1+0+1+2+2+3+3+2</f>
        <v>30</v>
      </c>
      <c r="S5" s="10">
        <f>1+2+1+1+1+0+1+2+0+1+1+1+0+0+0+0+0+1+0+0+1+0+0+0</f>
        <v>14</v>
      </c>
      <c r="T5" s="58">
        <f t="shared" si="1"/>
        <v>4.2647058823529411</v>
      </c>
      <c r="U5" s="58">
        <f t="shared" si="2"/>
        <v>5.0454545454545459</v>
      </c>
      <c r="V5" s="38">
        <v>3</v>
      </c>
    </row>
    <row r="6" spans="1:25" x14ac:dyDescent="0.2">
      <c r="A6" s="10">
        <v>16</v>
      </c>
      <c r="B6" s="10" t="s">
        <v>35</v>
      </c>
      <c r="C6" s="70" t="s">
        <v>66</v>
      </c>
      <c r="D6" s="10">
        <v>24</v>
      </c>
      <c r="E6" s="10">
        <f>12+4+2+2+8+5+2+4+7+4+5+0+7+0+4+5+2+9+8+1+2+4+4+7</f>
        <v>108</v>
      </c>
      <c r="F6" s="10">
        <f>69+2</f>
        <v>71</v>
      </c>
      <c r="G6" s="10">
        <f>5+2+1+1+3+4+0+4+3+0+0+0+4+0+2+1+1+2+4+1+1+1+2+0</f>
        <v>42</v>
      </c>
      <c r="H6" s="10">
        <f>1+4+2+1+4+5+2+3+2+4+5+1+3+2+2+2+0+1+3+3+3+2+4+0</f>
        <v>59</v>
      </c>
      <c r="I6" s="10">
        <f t="shared" si="0"/>
        <v>101</v>
      </c>
      <c r="J6" s="26">
        <f t="shared" ref="J6:J35" si="4">G6/E6</f>
        <v>0.3888888888888889</v>
      </c>
      <c r="K6" s="26">
        <f t="shared" si="3"/>
        <v>0.59154929577464788</v>
      </c>
      <c r="L6" s="10">
        <f>5+0+0+4+2+0+3+4+3+5+3+2+1+2+0+2+0+2+2+4+2+1+2+2</f>
        <v>51</v>
      </c>
      <c r="M6" s="10"/>
      <c r="N6" s="10"/>
      <c r="O6" s="10"/>
      <c r="P6" s="10">
        <f>0+0+0+0+0+0+0+0+0+0+0+0+0+0+0+0+0+0+0+0+0+0+0+0</f>
        <v>0</v>
      </c>
      <c r="Q6" s="27">
        <f>0+0+0+0+0+0+0+0+0+0+0+0+0+0+0+0+0+0+0+0+0+0+0+0</f>
        <v>0</v>
      </c>
      <c r="R6" s="10">
        <f>1+2+1+4+0+3+1+0+2+0+1+2+1+2+3+4+0+2+1+0+0+2+2+1</f>
        <v>35</v>
      </c>
      <c r="S6" s="10">
        <f>0+0+0+0+0+1+0+0+0+1+1+0+1+0+0+0+0+1+1+2+0+0+0+0</f>
        <v>8</v>
      </c>
      <c r="T6" s="58">
        <f t="shared" si="1"/>
        <v>4.5714285714285712</v>
      </c>
      <c r="U6" s="58">
        <f t="shared" si="2"/>
        <v>5.208333333333333</v>
      </c>
      <c r="V6" s="38">
        <v>2</v>
      </c>
      <c r="X6" s="42"/>
    </row>
    <row r="7" spans="1:25" x14ac:dyDescent="0.2">
      <c r="A7" s="10">
        <v>20</v>
      </c>
      <c r="B7" s="10" t="s">
        <v>35</v>
      </c>
      <c r="C7" s="70" t="s">
        <v>91</v>
      </c>
      <c r="D7" s="10">
        <v>21</v>
      </c>
      <c r="E7" s="10">
        <f>4+1+0+2+3+1+2+3+2+0+0+1+2+1+2+2+2+3+2+0+1+4+2+1</f>
        <v>41</v>
      </c>
      <c r="F7" s="10">
        <f>27+0</f>
        <v>27</v>
      </c>
      <c r="G7" s="10">
        <f>2+0+0+0+2+0+1+2+1+0+0+1+1+0+0+1+0+0+0+0+0+2+1+0</f>
        <v>14</v>
      </c>
      <c r="H7" s="10">
        <f>0+0+0+0+1+0+0+1+0+0+0+0+0+0+1+0+1+0+0+0+0+0+0+0</f>
        <v>4</v>
      </c>
      <c r="I7" s="10">
        <f t="shared" si="0"/>
        <v>18</v>
      </c>
      <c r="J7" s="40">
        <f>G7/E7</f>
        <v>0.34146341463414637</v>
      </c>
      <c r="K7" s="26">
        <f t="shared" si="3"/>
        <v>0.51851851851851849</v>
      </c>
      <c r="L7" s="10">
        <f>2+0+0+0+0+1+0+0+0+0+0+2+0+0+0+0+2+1+1+0+0+0+1+0</f>
        <v>10</v>
      </c>
      <c r="M7" s="10"/>
      <c r="N7" s="10"/>
      <c r="O7" s="26"/>
      <c r="P7" s="10">
        <f>0+0+0+0+1+0+0+0+0+0+0+0+0+0+0+0+0+0+0+0+0+0+0+0</f>
        <v>1</v>
      </c>
      <c r="Q7" s="27">
        <f>0+0+0+0+1+0+0+0+0+0+0+0+0+0+0+0+0+0+0+0+0+0+0+0</f>
        <v>1</v>
      </c>
      <c r="R7" s="10">
        <f>1+0+0+1+0+1+0+3+2+0+0+0+2+1+1+0+3+0+2+0+1+1+0+0</f>
        <v>19</v>
      </c>
      <c r="S7" s="10">
        <f>0+0+0+0+1+0+0+0+0+0+0+0+0+0+0+2+0+0+0+0+0+0+0+0</f>
        <v>3</v>
      </c>
      <c r="T7" s="58">
        <f t="shared" si="1"/>
        <v>1.55</v>
      </c>
      <c r="U7" s="58">
        <f t="shared" si="2"/>
        <v>0.52380952380952384</v>
      </c>
      <c r="V7" s="38">
        <v>5</v>
      </c>
      <c r="X7" s="42">
        <f>(G3+G7+G8+G15+G17+G20+G21+G28)/G44</f>
        <v>0.14000000000000001</v>
      </c>
    </row>
    <row r="8" spans="1:25" x14ac:dyDescent="0.2">
      <c r="A8" s="10">
        <v>1</v>
      </c>
      <c r="B8" s="10" t="s">
        <v>36</v>
      </c>
      <c r="C8" s="70" t="s">
        <v>89</v>
      </c>
      <c r="D8" s="10">
        <v>19</v>
      </c>
      <c r="E8" s="10">
        <f>0+0+0+0+0+0+0+0+0+2+0+0+0+1+0+0+0+0+0+0+0+0+0+0</f>
        <v>3</v>
      </c>
      <c r="F8" s="10">
        <f>1+0</f>
        <v>1</v>
      </c>
      <c r="G8" s="10">
        <f>0+0+0+0+0+0+0+0+0+1+0+0+0+0+0+0+0+0+0+0+0+0+0+0</f>
        <v>1</v>
      </c>
      <c r="H8" s="10">
        <f>0+0+0+0+1+0+0+0+0+0+0+0+0+0+0+0+0+0+0+0+0+0+0+0</f>
        <v>1</v>
      </c>
      <c r="I8" s="10">
        <f t="shared" si="0"/>
        <v>2</v>
      </c>
      <c r="J8" s="26">
        <f t="shared" si="4"/>
        <v>0.33333333333333331</v>
      </c>
      <c r="K8" s="26">
        <f t="shared" si="3"/>
        <v>1</v>
      </c>
      <c r="L8" s="10">
        <f>1+2+0+0+1+0+0+1+1+0+0+0+0+1+0+0+0+0+0+0+0+0+0+0</f>
        <v>7</v>
      </c>
      <c r="M8" s="10"/>
      <c r="N8" s="10"/>
      <c r="O8" s="26"/>
      <c r="P8" s="10">
        <f>1+0+0+0+0+0+0+0+0+0+0+0+0+0+0+0+0+0+0+0+0+0+0+0</f>
        <v>1</v>
      </c>
      <c r="Q8" s="27">
        <f>1+0+0+0+0+0+0+0+0+0+0+0+0+0+0+0+0+0+0+0+0+0+0+0</f>
        <v>1</v>
      </c>
      <c r="R8" s="10">
        <f>1+2+0+0+1+1+1+0+1+1+0+0+0+0+0+0+0+0+0+0+0+0+0+0</f>
        <v>8</v>
      </c>
      <c r="S8" s="10">
        <f>0+0+0+0+1+0+0+0+1+0+0+0+0+0+0+0+0+0+0+0+0+0+0+0</f>
        <v>2</v>
      </c>
      <c r="T8" s="58">
        <f t="shared" si="1"/>
        <v>1.2222222222222223</v>
      </c>
      <c r="U8" s="58">
        <f t="shared" si="2"/>
        <v>0.10526315789473684</v>
      </c>
      <c r="V8" s="46">
        <v>4</v>
      </c>
      <c r="W8" s="41"/>
      <c r="X8" s="42">
        <f>(H3+H7+H8+H17+H28)/H44</f>
        <v>4.4642857142857144E-2</v>
      </c>
      <c r="Y8" s="42"/>
    </row>
    <row r="9" spans="1:25" x14ac:dyDescent="0.2">
      <c r="A9" s="10">
        <v>4</v>
      </c>
      <c r="B9" s="10" t="s">
        <v>36</v>
      </c>
      <c r="C9" s="70" t="s">
        <v>90</v>
      </c>
      <c r="D9" s="10">
        <v>19</v>
      </c>
      <c r="E9" s="10">
        <f>1+2+1+3+2+1+0+0+2+2+1+3+2+0+4+0+0+0+0+0+2+5+0+0</f>
        <v>31</v>
      </c>
      <c r="F9" s="10">
        <f>18+0</f>
        <v>18</v>
      </c>
      <c r="G9" s="10">
        <f>1+0+1+0+1+0+0+0+0+1+1+0+0+0+1+0+0+0+0+0+1+1+0+0</f>
        <v>8</v>
      </c>
      <c r="H9" s="10">
        <f>0+0+0+0+0+0+0+0+0+0+0+0+1+0+0+0+0+0+0+0+0+1+0+0</f>
        <v>2</v>
      </c>
      <c r="I9" s="10">
        <f t="shared" si="0"/>
        <v>10</v>
      </c>
      <c r="J9" s="26">
        <f t="shared" si="4"/>
        <v>0.25806451612903225</v>
      </c>
      <c r="K9" s="26">
        <f t="shared" si="3"/>
        <v>0.44444444444444442</v>
      </c>
      <c r="L9" s="10">
        <f>4+1+1+1+6+1+1+0+3+0+2+1+3+3+3+0+0+0+0+0+0+2+0+1</f>
        <v>33</v>
      </c>
      <c r="M9" s="10"/>
      <c r="N9" s="10"/>
      <c r="O9" s="26"/>
      <c r="P9" s="10">
        <f>0+0+0+1+0+0+0+0+0+0+0+0+0+0+0+0+0+0+0+0+0+0+0+0</f>
        <v>1</v>
      </c>
      <c r="Q9" s="27">
        <f>0+0+0+1+0+0+0+0+0+0+0+0+0+0+0+0+0+0+0+0+0+0+0+0</f>
        <v>1</v>
      </c>
      <c r="R9" s="10">
        <f>1+0+1+0+0+0+1+0+2+0+2+2+0+2+1+3+0+0+0+0+2+1+0+0</f>
        <v>18</v>
      </c>
      <c r="S9" s="10">
        <f>2+0+0+0+2+0+0+0+1+0+0+1+1+0+1+1+0+0+0+0+0+1+0+1</f>
        <v>11</v>
      </c>
      <c r="T9" s="58">
        <f t="shared" si="1"/>
        <v>2.8421052631578947</v>
      </c>
      <c r="U9" s="58">
        <f t="shared" si="2"/>
        <v>1.8421052631578947</v>
      </c>
      <c r="V9" s="37">
        <v>4</v>
      </c>
      <c r="W9" s="41"/>
      <c r="X9" s="42"/>
      <c r="Y9" s="42"/>
    </row>
    <row r="10" spans="1:25" x14ac:dyDescent="0.2">
      <c r="A10" s="71">
        <v>5</v>
      </c>
      <c r="B10" s="71" t="s">
        <v>36</v>
      </c>
      <c r="C10" s="70" t="s">
        <v>82</v>
      </c>
      <c r="D10" s="71">
        <v>10</v>
      </c>
      <c r="E10" s="71">
        <f>0+0+0+0+0+0+0+0+0+4+0+0</f>
        <v>4</v>
      </c>
      <c r="F10" s="71">
        <f>1</f>
        <v>1</v>
      </c>
      <c r="G10" s="71">
        <f>0+0+0+0+0+0+0+0+0+1+0+0</f>
        <v>1</v>
      </c>
      <c r="H10" s="71">
        <f>0+0+0+0+0+0+0+0+0+0+0+0</f>
        <v>0</v>
      </c>
      <c r="I10" s="71">
        <f t="shared" si="0"/>
        <v>1</v>
      </c>
      <c r="J10" s="40">
        <f t="shared" si="4"/>
        <v>0.25</v>
      </c>
      <c r="K10" s="40">
        <f t="shared" si="3"/>
        <v>1</v>
      </c>
      <c r="L10" s="71">
        <f>1+0+0+0+0+1+0+0+1+2+0+0</f>
        <v>5</v>
      </c>
      <c r="M10" s="70"/>
      <c r="N10" s="70"/>
      <c r="O10" s="70"/>
      <c r="P10" s="71">
        <f>0+0+0+0+0+0+0+1+0+0+0+0</f>
        <v>1</v>
      </c>
      <c r="Q10" s="72">
        <f>0+0+0+0+0+0+0+3+0+0+0+0</f>
        <v>3</v>
      </c>
      <c r="R10" s="71">
        <f>1+0+0+0+1+1+0+0+0+2+0+0</f>
        <v>5</v>
      </c>
      <c r="S10" s="71">
        <f>0+0+0+1+1+1+0+0+0+1+0+0</f>
        <v>4</v>
      </c>
      <c r="T10" s="63">
        <f t="shared" si="1"/>
        <v>1.6666666666666667</v>
      </c>
      <c r="U10" s="63">
        <f t="shared" si="2"/>
        <v>0.4</v>
      </c>
      <c r="V10" s="46"/>
      <c r="W10" s="41"/>
      <c r="Y10" s="42"/>
    </row>
    <row r="11" spans="1:25" x14ac:dyDescent="0.2">
      <c r="A11" s="10">
        <v>5</v>
      </c>
      <c r="B11" s="10" t="s">
        <v>36</v>
      </c>
      <c r="C11" s="70" t="s">
        <v>129</v>
      </c>
      <c r="D11" s="10">
        <v>3</v>
      </c>
      <c r="E11" s="10">
        <f>0+1+2+0+0+0+0</f>
        <v>3</v>
      </c>
      <c r="F11" s="10">
        <f>3+0</f>
        <v>3</v>
      </c>
      <c r="G11" s="10">
        <f>0+0+0+0+0+0+0</f>
        <v>0</v>
      </c>
      <c r="H11" s="10">
        <f>0+0+0+0+0+0+0</f>
        <v>0</v>
      </c>
      <c r="I11" s="10">
        <f t="shared" si="0"/>
        <v>0</v>
      </c>
      <c r="J11" s="40">
        <f t="shared" si="4"/>
        <v>0</v>
      </c>
      <c r="K11" s="26">
        <f t="shared" si="3"/>
        <v>0</v>
      </c>
      <c r="L11" s="10">
        <f>0+2+0+0+0+0+0</f>
        <v>2</v>
      </c>
      <c r="P11" s="10">
        <f>0+0+0+0+0+0+0</f>
        <v>0</v>
      </c>
      <c r="Q11" s="27">
        <f>0+0+0+0+0+0+0</f>
        <v>0</v>
      </c>
      <c r="R11" s="10">
        <f>0+0+0+0+0+0+0</f>
        <v>0</v>
      </c>
      <c r="S11" s="10">
        <f>0+0+0+0+0+0+0</f>
        <v>0</v>
      </c>
      <c r="T11" s="27" t="e">
        <f t="shared" si="1"/>
        <v>#DIV/0!</v>
      </c>
      <c r="U11" s="58">
        <f t="shared" si="2"/>
        <v>0.66666666666666663</v>
      </c>
      <c r="V11" s="37">
        <v>5</v>
      </c>
      <c r="W11" s="41"/>
      <c r="Y11" s="42"/>
    </row>
    <row r="12" spans="1:25" x14ac:dyDescent="0.2">
      <c r="A12" s="10">
        <v>6</v>
      </c>
      <c r="B12" s="10" t="s">
        <v>36</v>
      </c>
      <c r="C12" s="70" t="s">
        <v>63</v>
      </c>
      <c r="D12" s="10">
        <v>24</v>
      </c>
      <c r="E12" s="10">
        <f>2+10+7+9+9+8+5+6+5+3+9+6+9+4+8+7+6+7+7+3+11+5+8+6</f>
        <v>160</v>
      </c>
      <c r="F12" s="10">
        <f>100+6</f>
        <v>106</v>
      </c>
      <c r="G12" s="10">
        <f>1+5+2+4+3+1+3+2+1+1+3+3+2+1+1+3+0+4+3+3+5+2+1+2</f>
        <v>56</v>
      </c>
      <c r="H12" s="10">
        <f>2+1+0+1+1+0+1+0+1+1+3+1+3+0+2+2+1+4+2+5+0+1+2+3</f>
        <v>37</v>
      </c>
      <c r="I12" s="10">
        <f t="shared" si="0"/>
        <v>93</v>
      </c>
      <c r="J12" s="26">
        <f t="shared" si="4"/>
        <v>0.35</v>
      </c>
      <c r="K12" s="26">
        <f t="shared" si="3"/>
        <v>0.52830188679245282</v>
      </c>
      <c r="L12" s="10">
        <f>3+1+0+4+4+6+3+3+1+2+1+2+3+0+7+6+0+10+1+4+1+4+5+3</f>
        <v>74</v>
      </c>
      <c r="M12" s="10"/>
      <c r="N12" s="10"/>
      <c r="O12" s="26"/>
      <c r="P12" s="10">
        <f>0+0+1+1+0+1+0+0+0+0+0+0+1+1+0+2+0+0+0+1+0+0+0+1</f>
        <v>9</v>
      </c>
      <c r="Q12" s="27">
        <f>0+0+2+0.5+0+2+0+0+0+0+0+0+2+1+0+1.5+0+0+0+1+0+0+0+0.5</f>
        <v>10.5</v>
      </c>
      <c r="R12" s="10">
        <f>1+3+3+0+0+1+2+2+2+0+0+2+2+2+1+0+1+1+1+1+2+0+2+3</f>
        <v>32</v>
      </c>
      <c r="S12" s="10">
        <f>0+0+0+2+1+1+1+0+2+0+0+0+0+0+2+1+2+0+1+1+1+1+1+1</f>
        <v>18</v>
      </c>
      <c r="T12" s="58">
        <f t="shared" si="1"/>
        <v>4.5121951219512191</v>
      </c>
      <c r="U12" s="58">
        <f t="shared" si="2"/>
        <v>6</v>
      </c>
      <c r="V12" s="37">
        <v>1</v>
      </c>
      <c r="X12" s="42"/>
      <c r="Y12" s="42"/>
    </row>
    <row r="13" spans="1:25" x14ac:dyDescent="0.2">
      <c r="A13" s="10">
        <v>7</v>
      </c>
      <c r="B13" s="10" t="s">
        <v>36</v>
      </c>
      <c r="C13" s="70" t="s">
        <v>69</v>
      </c>
      <c r="D13" s="10">
        <v>24</v>
      </c>
      <c r="E13" s="10">
        <f>0+0+0+0+2+2+0+3+3+3+5+1+1+2+2+4+2+3+1+3+1+4+3+2</f>
        <v>47</v>
      </c>
      <c r="F13" s="10">
        <f>25+2</f>
        <v>27</v>
      </c>
      <c r="G13" s="10">
        <f>0+0+0+0+1+1+0+0+2+1+3+0+0+1+0+1+1+1+0+1+0+1+2+2</f>
        <v>18</v>
      </c>
      <c r="H13" s="10">
        <f>2+0+1+1+1+1+1+1+1+1+2+0+1+0+1+1+0+1+1+0+1+1+2+0</f>
        <v>21</v>
      </c>
      <c r="I13" s="10">
        <f t="shared" ref="I13:I24" si="5">G13+H13</f>
        <v>39</v>
      </c>
      <c r="J13" s="26">
        <f t="shared" si="4"/>
        <v>0.38297872340425532</v>
      </c>
      <c r="K13" s="26">
        <f t="shared" si="3"/>
        <v>0.66666666666666663</v>
      </c>
      <c r="L13" s="10">
        <f>0+0+0+0+0+3+1+0+1+1+2+1+1+3+2+2+2+3+3+2+1+4+1+2</f>
        <v>35</v>
      </c>
      <c r="M13" s="10"/>
      <c r="N13" s="10"/>
      <c r="O13" s="26"/>
      <c r="P13" s="10">
        <f>1+0+0+0+0+0+0+0+0+0+0+0+0+0+0+0+0+0+0+0+0+0+0+1</f>
        <v>2</v>
      </c>
      <c r="Q13" s="27">
        <f>0.5+0+0+0+1+0+0+0+0+0+0+0+0+0+0+0+0+0+0+0+0+0+0+0.5</f>
        <v>2</v>
      </c>
      <c r="R13" s="10">
        <f>0+0+0+1+2+0+4+2+1+0+1+3+0+1+1+1+2+3+0+0+1+1+1+3</f>
        <v>28</v>
      </c>
      <c r="S13" s="10">
        <f>1+1+0+1+0+0+1+0+0+0+0+0+0+0+1+0+2+0+0+1+0+2+2+2</f>
        <v>14</v>
      </c>
      <c r="T13" s="58">
        <f t="shared" si="1"/>
        <v>2.9333333333333331</v>
      </c>
      <c r="U13" s="58">
        <f t="shared" si="2"/>
        <v>2.4166666666666665</v>
      </c>
      <c r="V13" s="37">
        <v>2</v>
      </c>
      <c r="X13" s="42"/>
      <c r="Y13" s="42"/>
    </row>
    <row r="14" spans="1:25" x14ac:dyDescent="0.2">
      <c r="A14" s="10">
        <v>8</v>
      </c>
      <c r="B14" s="10" t="s">
        <v>36</v>
      </c>
      <c r="C14" s="70" t="s">
        <v>74</v>
      </c>
      <c r="D14" s="10">
        <v>22</v>
      </c>
      <c r="E14" s="10">
        <f>1+0+0+0+0+2+0+0+0+5+0+0+0+0+0+0+0+0+0+3+1+0+0+0</f>
        <v>12</v>
      </c>
      <c r="F14" s="10">
        <f>9+0</f>
        <v>9</v>
      </c>
      <c r="G14" s="10">
        <f>1+0+0+0+0+0+0+0+0+3+0+0+0+0+0+0+0+0+0+2+1+0+0+0</f>
        <v>7</v>
      </c>
      <c r="H14" s="10">
        <f>0+0+0+0+0+0+0+0+0+0+0+0+0+0+0+0+0+0+0+0+0+0+0+0</f>
        <v>0</v>
      </c>
      <c r="I14" s="10">
        <f>G14+H14</f>
        <v>7</v>
      </c>
      <c r="J14" s="26">
        <f t="shared" si="4"/>
        <v>0.58333333333333337</v>
      </c>
      <c r="K14" s="26">
        <f t="shared" si="3"/>
        <v>0.77777777777777779</v>
      </c>
      <c r="L14" s="10">
        <f>4+1+2+1+2+8+0+4+1+10+0+4+0+1+0+4+0+1+3+6+3+4+2+0</f>
        <v>61</v>
      </c>
      <c r="M14" s="10">
        <f>14+12+14+25+12+12+0+23+21+16+10+9+9+6+0+8+2+5+8+10+9+5+5+2</f>
        <v>237</v>
      </c>
      <c r="N14" s="10">
        <f>6+5+7+6+7+9+0+15+6+11+3+7+2+3+0+7+0+2+6+7+6+4+3+1</f>
        <v>123</v>
      </c>
      <c r="O14" s="26">
        <f>N14/M14</f>
        <v>0.51898734177215189</v>
      </c>
      <c r="P14" s="10">
        <f>0+0+1+0+0+0+0+0+0+0+0+0+0+0+0+0+0+0+0+0+0+0+0</f>
        <v>1</v>
      </c>
      <c r="Q14" s="27">
        <f>0+0+1+0+0+0+0+0+0+0+0+0+0+0+0+0+0+0+0+0+0+0+0</f>
        <v>1</v>
      </c>
      <c r="R14" s="10">
        <f>1+0+0+1+0+1+0+0+0+0+0+2+0+0+0+0+0+0+0+0+0+1+0+0</f>
        <v>6</v>
      </c>
      <c r="S14" s="10">
        <f>1+0+0+2+0+0+0+0+0+0+0+0+0+0+0+0+1+0+0+0+0+0+0+1</f>
        <v>5</v>
      </c>
      <c r="T14" s="58">
        <f t="shared" si="1"/>
        <v>10.428571428571429</v>
      </c>
      <c r="U14" s="58">
        <f t="shared" si="2"/>
        <v>3</v>
      </c>
      <c r="V14" s="10">
        <v>2</v>
      </c>
    </row>
    <row r="15" spans="1:25" x14ac:dyDescent="0.2">
      <c r="A15" s="10">
        <v>10</v>
      </c>
      <c r="B15" s="10" t="s">
        <v>36</v>
      </c>
      <c r="C15" s="70" t="s">
        <v>76</v>
      </c>
      <c r="D15" s="10">
        <v>16</v>
      </c>
      <c r="E15" s="10">
        <f>0+0+0+2+0+0+0+2+0+0+0+1+1+1+0+0+0+0+0+0+0+0+0+0</f>
        <v>7</v>
      </c>
      <c r="F15" s="10">
        <f>6+0</f>
        <v>6</v>
      </c>
      <c r="G15" s="10">
        <f>0+0+0+0+0+0+0+1+0+0+0+0+0+0+0+0+0+0+0+0+0+0+0+0</f>
        <v>1</v>
      </c>
      <c r="H15" s="10">
        <f>0+0+0+0+0+0+0+0+0+0+0+0+0+0+0+0+0+0+0+0+0+0+0+0</f>
        <v>0</v>
      </c>
      <c r="I15" s="10">
        <f t="shared" si="5"/>
        <v>1</v>
      </c>
      <c r="J15" s="26">
        <f t="shared" si="4"/>
        <v>0.14285714285714285</v>
      </c>
      <c r="K15" s="26">
        <f t="shared" si="3"/>
        <v>0.16666666666666666</v>
      </c>
      <c r="L15" s="10">
        <f>0+0+0+0+0+1+0+0+0+0+2+0+0+2+0+0+0+0+0+0+0+0+0+0</f>
        <v>5</v>
      </c>
      <c r="M15" s="10"/>
      <c r="N15" s="10"/>
      <c r="O15" s="26"/>
      <c r="P15" s="10">
        <f>0+0+0+0+0+0+0+0+0+0+0+0+0+0+0+0+0+0+0+0+0+0+0+0</f>
        <v>0</v>
      </c>
      <c r="Q15" s="27">
        <f>0+0+0+0+0+0+0+0+0+0+0+0+0+0+0+0+0+0+0+0+0+0+0+0</f>
        <v>0</v>
      </c>
      <c r="R15" s="10">
        <f>0+0+0+0+0+1+0+0+0+1+1+1+0+2+0+1+0+0+0+0+0+0+0+0</f>
        <v>7</v>
      </c>
      <c r="S15" s="10">
        <f>0+0+0+0+0+0+0+0+0+0+0+0+0+0+0+0+0+0+0+0+0+0+0+0</f>
        <v>0</v>
      </c>
      <c r="T15" s="59">
        <f t="shared" si="1"/>
        <v>0.8571428571428571</v>
      </c>
      <c r="U15" s="59">
        <f t="shared" si="2"/>
        <v>-6.25E-2</v>
      </c>
      <c r="V15" s="37">
        <v>9</v>
      </c>
      <c r="W15" s="41"/>
      <c r="X15" s="42"/>
      <c r="Y15" s="42"/>
    </row>
    <row r="16" spans="1:25" x14ac:dyDescent="0.2">
      <c r="A16" s="10">
        <v>15</v>
      </c>
      <c r="B16" s="10" t="s">
        <v>36</v>
      </c>
      <c r="C16" s="70" t="s">
        <v>70</v>
      </c>
      <c r="D16" s="10">
        <v>23</v>
      </c>
      <c r="E16" s="10">
        <f>0+0+0+0+0+0+0+0+0+1+0+0+0+0+0+0+0+0+0+1+0+0+0+0</f>
        <v>2</v>
      </c>
      <c r="F16" s="10">
        <f>1+0</f>
        <v>1</v>
      </c>
      <c r="G16" s="10">
        <f>0+0+0+0+0+0+0+0+0+0+0+0+0+0+0+0+0+0+0+1+0+0+0+0</f>
        <v>1</v>
      </c>
      <c r="H16" s="10">
        <f>0+0+0+0+0+0+0+0+0+0+0+0+0+0+0+0+0+0+0+0+0+0+0</f>
        <v>0</v>
      </c>
      <c r="I16" s="10">
        <f t="shared" si="5"/>
        <v>1</v>
      </c>
      <c r="J16" s="40">
        <f>G16/E16</f>
        <v>0.5</v>
      </c>
      <c r="K16" s="26">
        <f t="shared" si="3"/>
        <v>1</v>
      </c>
      <c r="L16" s="10">
        <f>1+1+0+1+0+1+0+2+0+0+2+2+0+0+0+0+0+1+0+4+0+1+0+0</f>
        <v>16</v>
      </c>
      <c r="M16" s="10"/>
      <c r="N16" s="10"/>
      <c r="P16" s="10">
        <f>0+0+0+0+0+0+0+0+0+0+0+0+0+0+0+0+0+0+0+0+0+0+0+0</f>
        <v>0</v>
      </c>
      <c r="Q16" s="27">
        <f>0+0+0+0+0+0+0+0+0+0+0+0+0+0+0+0+0+0+0+0+0+0+0+0</f>
        <v>0</v>
      </c>
      <c r="R16" s="10">
        <f>1+3+0+1+0+0+1+0+0+0+2+3+1+1+2+3+1+0+0+0+0+0+0+0</f>
        <v>19</v>
      </c>
      <c r="S16" s="10">
        <f>0+0+0+0+0+0+1+0+0+0+0+0+3+0+0+0+0+2+0+1+0+0+0+1</f>
        <v>8</v>
      </c>
      <c r="T16" s="58">
        <f t="shared" si="1"/>
        <v>1.3157894736842106</v>
      </c>
      <c r="U16" s="58">
        <f t="shared" si="2"/>
        <v>0.2608695652173913</v>
      </c>
      <c r="V16" s="47">
        <v>3</v>
      </c>
      <c r="X16" s="42"/>
      <c r="Y16" s="42"/>
    </row>
    <row r="17" spans="1:22" x14ac:dyDescent="0.2">
      <c r="A17" s="10">
        <v>18</v>
      </c>
      <c r="B17" s="10" t="s">
        <v>36</v>
      </c>
      <c r="C17" s="70" t="s">
        <v>77</v>
      </c>
      <c r="D17" s="10">
        <v>12</v>
      </c>
      <c r="E17" s="10">
        <f>4+1+7+6+7+0+5+9+1+0+0+0+0+0+0+0+0+0+0+0+1+2+6+5</f>
        <v>54</v>
      </c>
      <c r="F17" s="10">
        <f>32+5</f>
        <v>37</v>
      </c>
      <c r="G17" s="10">
        <f>3+0+4+3+4+0+1+2+0+0+0+0+0+0+0+0+0+0+0+0+0+0+1+5</f>
        <v>23</v>
      </c>
      <c r="H17" s="10">
        <f>0+0+0+1+2+0+0+0+0+0+0+0+0+0+0+0+0+0+0+0+0+0+0+0</f>
        <v>3</v>
      </c>
      <c r="I17" s="10">
        <f t="shared" si="5"/>
        <v>26</v>
      </c>
      <c r="J17" s="40">
        <f>G17/E17</f>
        <v>0.42592592592592593</v>
      </c>
      <c r="K17" s="26">
        <f t="shared" si="3"/>
        <v>0.6216216216216216</v>
      </c>
      <c r="L17" s="10">
        <f>0+0+1+1+0+0+2+2+2+0+0+0+0+0+0+0+0+0+0+0+0+2+0+0</f>
        <v>10</v>
      </c>
      <c r="M17" s="10"/>
      <c r="N17" s="10"/>
      <c r="O17" s="26"/>
      <c r="P17" s="10">
        <f>1+0+1+0+0+0+0+0+0+0+0+0+0+0+0+0+0+0+0+0+1+0+0+0</f>
        <v>3</v>
      </c>
      <c r="Q17" s="27">
        <f>1+0+2+0+0+0+0+0+0+0+0+0+0+0+0+0+0+0+0+0+0.5+0+0+0</f>
        <v>3.5</v>
      </c>
      <c r="R17" s="10">
        <f>1+1+0+1+0+0+2+1+1+0+0+0+0+0+0+0+0+0+0+0+1+2+2+1</f>
        <v>13</v>
      </c>
      <c r="S17" s="10">
        <f>0+0+0+0+0+0+1+0+1+0+0+0+0+0+0+0+0+0+0+0+0+1+0+0</f>
        <v>3</v>
      </c>
      <c r="T17" s="58">
        <f t="shared" si="1"/>
        <v>2.4375</v>
      </c>
      <c r="U17" s="58">
        <f t="shared" si="2"/>
        <v>1.9166666666666667</v>
      </c>
      <c r="V17" s="37">
        <v>3</v>
      </c>
    </row>
    <row r="18" spans="1:22" x14ac:dyDescent="0.2">
      <c r="A18" s="10">
        <v>19</v>
      </c>
      <c r="B18" s="10" t="s">
        <v>36</v>
      </c>
      <c r="C18" s="70" t="s">
        <v>84</v>
      </c>
      <c r="D18" s="10">
        <v>19</v>
      </c>
      <c r="E18" s="10">
        <f>0+0+0+1+0+0+0+0+0+0+0+0+0+0+0+0+0+0+0+0+0+0+0+0</f>
        <v>1</v>
      </c>
      <c r="F18" s="10">
        <f>1+0</f>
        <v>1</v>
      </c>
      <c r="G18" s="10">
        <f>0+0+0+0+0+0+0+0+0+0+0+0+0+0+0+0+0+0+0+0+0+0+0+0</f>
        <v>0</v>
      </c>
      <c r="H18" s="10">
        <f>0+0+0+0+0+0+0+0+0+0+0+0+0+0+0+0+0+0+0+0+0+0+0+0</f>
        <v>0</v>
      </c>
      <c r="I18" s="10">
        <f t="shared" si="5"/>
        <v>0</v>
      </c>
      <c r="J18" s="40">
        <f>G18/E18</f>
        <v>0</v>
      </c>
      <c r="K18" s="26">
        <f t="shared" si="3"/>
        <v>0</v>
      </c>
      <c r="L18" s="10">
        <f>2+1+6+3+0+5+0+0+0+0+3+2+5+3+1+7+6+4+6+10+7+4+3+0</f>
        <v>78</v>
      </c>
      <c r="M18" s="10">
        <f>12+15+19+8+0+10+0+0+0+0+0+14+14+19+14+0+13+16+16+17+15+20+12+18+10</f>
        <v>262</v>
      </c>
      <c r="N18" s="10">
        <f>8+6+11+3+0+7+0+0+0+0+0+5+9+9+5+0+12+6+8+11+11+13+10+12+3</f>
        <v>149</v>
      </c>
      <c r="O18" s="26">
        <f>N18/M18</f>
        <v>0.56870229007633588</v>
      </c>
      <c r="P18" s="10">
        <f>1+2+0+0+0+0+0+0+0+0+0+0+1+0+0+0+0+0+0+0+0+0+0+0</f>
        <v>4</v>
      </c>
      <c r="Q18" s="27">
        <f>1+1.5+0+0+0+0+0+0+0+0+0+0+0.5+0+0+0+0+0+0+0+0+0+0+0</f>
        <v>3</v>
      </c>
      <c r="R18" s="10">
        <f>0+0+0+0+0+1+0+0+0+0+0+2+1+0+0+1+1+0+1+0+1+1+0+0</f>
        <v>9</v>
      </c>
      <c r="S18" s="10">
        <f>0+0+0+1+0+0+0+0+0+0+0+0+1+0+1+0+0+0+0+1+0+0+0+0</f>
        <v>4</v>
      </c>
      <c r="T18" s="58">
        <f t="shared" si="1"/>
        <v>6.3076923076923075</v>
      </c>
      <c r="U18" s="58">
        <f t="shared" si="2"/>
        <v>3.6315789473684212</v>
      </c>
      <c r="V18" s="10">
        <v>1</v>
      </c>
    </row>
    <row r="19" spans="1:22" x14ac:dyDescent="0.2">
      <c r="A19" s="10">
        <v>23</v>
      </c>
      <c r="B19" s="10" t="s">
        <v>36</v>
      </c>
      <c r="C19" s="70" t="s">
        <v>92</v>
      </c>
      <c r="D19" s="10">
        <v>20</v>
      </c>
      <c r="E19" s="10">
        <f>0+0+0+0+0+0+0+0+0+1+0+0+0+0+0+0+0+0+0+4+0+0+0+0</f>
        <v>5</v>
      </c>
      <c r="F19" s="10">
        <f>1+0</f>
        <v>1</v>
      </c>
      <c r="G19" s="10">
        <f>0+0+0+0+0+0+0+0+0+0+0+0+0+0+0+0+0+0+0+1+0+0+0+0</f>
        <v>1</v>
      </c>
      <c r="H19" s="10">
        <f>0+0+0+0+0+0+0+0+0+0+0+0+0+0+0+0+0+0+0+0+0+0+0+0</f>
        <v>0</v>
      </c>
      <c r="I19" s="10">
        <f>G19+H19</f>
        <v>1</v>
      </c>
      <c r="J19" s="40">
        <f>G19/E19</f>
        <v>0.2</v>
      </c>
      <c r="K19" s="26">
        <f t="shared" si="3"/>
        <v>1</v>
      </c>
      <c r="L19" s="10">
        <f>0+0+0+0+0+0+0+0+0+0+0+0+0+0+0+0+0+0+0+2+0+0+0+0</f>
        <v>2</v>
      </c>
      <c r="M19" s="10"/>
      <c r="N19" s="10"/>
      <c r="O19" s="26"/>
      <c r="P19" s="10">
        <f t="shared" ref="P19:Q21" si="6">0+0+0+0+0+0+0+0+0+0+0+0+0+0+0+0+0+0+0+0+0+0+0+0</f>
        <v>0</v>
      </c>
      <c r="Q19" s="27">
        <f t="shared" si="6"/>
        <v>0</v>
      </c>
      <c r="R19" s="10">
        <f>0+0+0+0+0+0+0+0+0+0+0+0+0+0+0+0+0+0+0+1+0+0+0+0</f>
        <v>1</v>
      </c>
      <c r="S19" s="10">
        <f>0+0+0+0+0+0+0+1+1+0+0+0+0+0+0+0+0+0+0+0+0+1+0+1</f>
        <v>4</v>
      </c>
      <c r="T19" s="58">
        <f t="shared" si="1"/>
        <v>7</v>
      </c>
      <c r="U19" s="58">
        <f t="shared" si="2"/>
        <v>0.3</v>
      </c>
      <c r="V19" s="46">
        <v>2</v>
      </c>
    </row>
    <row r="20" spans="1:22" x14ac:dyDescent="0.2">
      <c r="A20" s="10">
        <v>24</v>
      </c>
      <c r="B20" s="10" t="s">
        <v>36</v>
      </c>
      <c r="C20" s="70" t="s">
        <v>85</v>
      </c>
      <c r="D20" s="10">
        <v>4</v>
      </c>
      <c r="E20" s="10">
        <f>1+0+0+0+0+0+0+0+0+1+0+0+0+0+0+0+0+0+0+0+0+1+0+0</f>
        <v>3</v>
      </c>
      <c r="F20" s="10">
        <f>3+0</f>
        <v>3</v>
      </c>
      <c r="G20" s="10">
        <f>1+0+0+0+0+0+0+0+0+0+0+0+0+0+0+0+0+0+0+0+0+0+0+0</f>
        <v>1</v>
      </c>
      <c r="H20" s="10">
        <f>0+0+0+0+0+0+0+0+0+0+0+0+0+0+0+0+0+0+0+0+0+0+0+0</f>
        <v>0</v>
      </c>
      <c r="I20" s="10">
        <f>G20+H20</f>
        <v>1</v>
      </c>
      <c r="J20" s="40">
        <f>G20/E20</f>
        <v>0.33333333333333331</v>
      </c>
      <c r="K20" s="26">
        <f t="shared" si="3"/>
        <v>0.33333333333333331</v>
      </c>
      <c r="L20" s="10">
        <f>0+0+0+0+0+0+0+0+0+2+0+0+0+0+0+0+0+0+0+0+0+0+0+0</f>
        <v>2</v>
      </c>
      <c r="M20" s="10"/>
      <c r="N20" s="10"/>
      <c r="O20" s="10"/>
      <c r="P20" s="10">
        <f t="shared" si="6"/>
        <v>0</v>
      </c>
      <c r="Q20" s="27">
        <f t="shared" si="6"/>
        <v>0</v>
      </c>
      <c r="R20" s="10">
        <f>1+0+0+0+0+0+0+0+0+3+0+0+0+0+0+0+0+0+0+0+0+0+0+0</f>
        <v>4</v>
      </c>
      <c r="S20" s="10">
        <f>0+0+0+0+0+0+0+0+0+1+0+0+0+0+0+0+0+0+0+0+0+0+0+0</f>
        <v>1</v>
      </c>
      <c r="T20" s="27">
        <f t="shared" si="1"/>
        <v>1</v>
      </c>
      <c r="U20" s="27">
        <f t="shared" si="2"/>
        <v>0</v>
      </c>
      <c r="V20" s="39">
        <v>8</v>
      </c>
    </row>
    <row r="21" spans="1:22" x14ac:dyDescent="0.2">
      <c r="A21" s="10">
        <v>25</v>
      </c>
      <c r="B21" s="10" t="s">
        <v>36</v>
      </c>
      <c r="C21" s="70" t="s">
        <v>93</v>
      </c>
      <c r="D21" s="10">
        <v>16</v>
      </c>
      <c r="E21" s="10">
        <f>0+0+0+0+1+0+0+3+0+5+0+0+1+0+0+1+1+0+3+0+0+0+0+0</f>
        <v>15</v>
      </c>
      <c r="F21" s="10">
        <f>13+0</f>
        <v>13</v>
      </c>
      <c r="G21" s="10">
        <f>0+0+0+0+0+0+0+0+0+3+0+0+0+0+0+0+1+0+2+0+0+0+0+0</f>
        <v>6</v>
      </c>
      <c r="H21" s="10">
        <f>0+0+0+0+0+0+0+0+0+0+0+0+0+0+0+0+0+0+0+0+0+0+0+0</f>
        <v>0</v>
      </c>
      <c r="I21" s="10">
        <f t="shared" si="5"/>
        <v>6</v>
      </c>
      <c r="J21" s="26">
        <f t="shared" si="4"/>
        <v>0.4</v>
      </c>
      <c r="K21" s="26">
        <f t="shared" si="3"/>
        <v>0.46153846153846156</v>
      </c>
      <c r="L21" s="10">
        <f>1+0+0+0+0+0+0+1+0+3+0+0+0+0+0+3+0+0+0+0+0+0+0+0</f>
        <v>8</v>
      </c>
      <c r="M21" s="10"/>
      <c r="N21" s="10"/>
      <c r="O21" s="26"/>
      <c r="P21" s="10">
        <f t="shared" si="6"/>
        <v>0</v>
      </c>
      <c r="Q21" s="27">
        <f t="shared" si="6"/>
        <v>0</v>
      </c>
      <c r="R21" s="10">
        <f>0+0+0+0+0+0+0+1+0+0+0+0+1+2+0+1+2+1+0+0+0+0+0+0</f>
        <v>8</v>
      </c>
      <c r="S21" s="10">
        <f>0+0+0+0+0+0+0+0+0+0+0+0+0+0+0+1+0+0+0+0+0+0+0+0</f>
        <v>1</v>
      </c>
      <c r="T21" s="58">
        <f t="shared" si="1"/>
        <v>1.875</v>
      </c>
      <c r="U21" s="58">
        <f t="shared" si="2"/>
        <v>0.4375</v>
      </c>
      <c r="V21" s="37">
        <v>6</v>
      </c>
    </row>
    <row r="22" spans="1:22" x14ac:dyDescent="0.2">
      <c r="A22" s="10">
        <v>26</v>
      </c>
      <c r="B22" s="10" t="s">
        <v>36</v>
      </c>
      <c r="C22" s="70" t="s">
        <v>94</v>
      </c>
      <c r="D22" s="10">
        <v>15</v>
      </c>
      <c r="E22" s="10">
        <f>0+0+0+1+1+0+0+0+0+2+0+0+0+0+0+0+0+0+0+0+0+0+0+0</f>
        <v>4</v>
      </c>
      <c r="F22" s="10">
        <f>1+0</f>
        <v>1</v>
      </c>
      <c r="G22" s="10">
        <f>0+0+0+0+0+0+0+0+0+1+0+0+0+0+0+0+0+0+0+0+0+0+0+0</f>
        <v>1</v>
      </c>
      <c r="H22" s="10">
        <f>0+0+0+0+0+0+0+0+0+0+0+0+0+0+0+0+0+0+0+0+0+0+0+0</f>
        <v>0</v>
      </c>
      <c r="I22" s="10">
        <f t="shared" si="5"/>
        <v>1</v>
      </c>
      <c r="J22" s="26">
        <f t="shared" si="4"/>
        <v>0.25</v>
      </c>
      <c r="K22" s="26">
        <f t="shared" si="3"/>
        <v>1</v>
      </c>
      <c r="L22" s="10">
        <f>2+0+1+0+0+1+1+3+0+2+4+0+0+0+0+0+0+0+0+0+0+1+0+3</f>
        <v>18</v>
      </c>
      <c r="M22" s="10"/>
      <c r="N22" s="10"/>
      <c r="O22" s="26"/>
      <c r="P22" s="10">
        <f>0+0+0+0+0+0+1+1+0+0+0+0+0+0+0+0+0+0+0+0+0+1+0+0</f>
        <v>3</v>
      </c>
      <c r="Q22" s="27">
        <f>0+0+0+0+0+0+1+1+0+0+0+0+0+0+0+0+0+0+0+0+0+0.5+0+0</f>
        <v>2.5</v>
      </c>
      <c r="R22" s="10">
        <f>0+0+2+0+1+1+0+1+0+0+1+1+0+0+0+0+0+0+0+0+0+1+0+0</f>
        <v>8</v>
      </c>
      <c r="S22" s="10">
        <f>1+0+1+0+2+1+1+0+0+1+1+1+0+0+0+0+0+0+0+0+0+0+0+2</f>
        <v>11</v>
      </c>
      <c r="T22" s="58">
        <f t="shared" si="1"/>
        <v>2.7272727272727271</v>
      </c>
      <c r="U22" s="58">
        <f t="shared" si="2"/>
        <v>1.2666666666666666</v>
      </c>
      <c r="V22" s="46">
        <v>1</v>
      </c>
    </row>
    <row r="23" spans="1:22" x14ac:dyDescent="0.2">
      <c r="A23" s="10">
        <v>27</v>
      </c>
      <c r="B23" s="10" t="s">
        <v>36</v>
      </c>
      <c r="C23" s="70" t="s">
        <v>95</v>
      </c>
      <c r="D23" s="10">
        <v>3</v>
      </c>
      <c r="E23" s="10">
        <f>0+0+0+0+0+0+0+0+0+1+0+0+0+0+0+0+0+0+0+0+0+0+0+0</f>
        <v>1</v>
      </c>
      <c r="F23" s="10">
        <f>0+0</f>
        <v>0</v>
      </c>
      <c r="G23" s="10">
        <f>0+0+0+0+0+0+0+0+0+0+0+0+0+0+0+0+0+0+0+0+0+0+0+0</f>
        <v>0</v>
      </c>
      <c r="H23" s="10">
        <f>0+0+0+0+0+0+0+0+0+0+0+0+0+0+0+0+0+0+0+0+0+0+0+0</f>
        <v>0</v>
      </c>
      <c r="I23" s="10">
        <f>G23+H23</f>
        <v>0</v>
      </c>
      <c r="J23" s="26">
        <f t="shared" si="4"/>
        <v>0</v>
      </c>
      <c r="K23" s="26" t="e">
        <f t="shared" si="3"/>
        <v>#DIV/0!</v>
      </c>
      <c r="L23" s="10">
        <f>0+0+0+0+0+0+0+0+0+2+0+0+0+0+0+0+0+0+0+0+0+0+0+0</f>
        <v>2</v>
      </c>
      <c r="M23" s="10"/>
      <c r="N23" s="10"/>
      <c r="O23" s="26"/>
      <c r="P23" s="10">
        <f>0+0+0+0+0+0+0+0+0+0+0+0+0+0+0+0+0+0+0+0+0+0+0+0</f>
        <v>0</v>
      </c>
      <c r="Q23" s="27">
        <f>0+0+0+0+0+0+0+0+0+0+0+0+0+0+0+0+0+0+0+0+0+0+0+0</f>
        <v>0</v>
      </c>
      <c r="R23" s="10">
        <f>1+0+0+0+0+0+0+0+0+1+0+0+0+0+0+0+0+0+0+0+0+0+0</f>
        <v>2</v>
      </c>
      <c r="S23" s="10">
        <f>0+0+0+0+0+0+0+0+0+1+0+0+0+0+0+0+0+0+0+0+0+0+0+0</f>
        <v>1</v>
      </c>
      <c r="T23" s="58">
        <f t="shared" ref="T23:T30" si="7">(L23+I23+S23)/(P23+R23)</f>
        <v>1.5</v>
      </c>
      <c r="U23" s="58">
        <f t="shared" si="2"/>
        <v>0.33333333333333331</v>
      </c>
      <c r="V23" s="37">
        <v>7</v>
      </c>
    </row>
    <row r="24" spans="1:22" x14ac:dyDescent="0.2">
      <c r="A24" s="10">
        <v>31</v>
      </c>
      <c r="B24" s="10" t="s">
        <v>36</v>
      </c>
      <c r="C24" s="70" t="s">
        <v>108</v>
      </c>
      <c r="D24" s="10">
        <v>4</v>
      </c>
      <c r="E24" s="10">
        <f>0+0+0+0+0+0+0+0+0+0+0+0+0+0+0+0+0+0</f>
        <v>0</v>
      </c>
      <c r="F24" s="10">
        <f>0+0</f>
        <v>0</v>
      </c>
      <c r="G24" s="10">
        <f>0+0+0+0+0+0+0+0+0+0+0+0+0+0+0+0+0+0</f>
        <v>0</v>
      </c>
      <c r="H24" s="10">
        <f>0+0+0+0+0+0+0+0+0+0+0+0+0+0+0+0+0+0</f>
        <v>0</v>
      </c>
      <c r="I24" s="10">
        <f t="shared" si="5"/>
        <v>0</v>
      </c>
      <c r="J24" s="26" t="e">
        <f t="shared" si="4"/>
        <v>#DIV/0!</v>
      </c>
      <c r="K24" s="26" t="e">
        <f t="shared" si="3"/>
        <v>#DIV/0!</v>
      </c>
      <c r="L24" s="10">
        <f>2+0+0+0+0+1+0+0+0+0+0+0+0+0+0+0+0+0</f>
        <v>3</v>
      </c>
      <c r="M24" s="10">
        <f>13+0+0+0+0+15+0+0+1+0+0+1+0+0+1+0</f>
        <v>31</v>
      </c>
      <c r="N24" s="10">
        <f>9+0+0+0+0+6+0+0+0+0+0+0+0+0+0</f>
        <v>15</v>
      </c>
      <c r="O24" s="26">
        <f>N24/M24</f>
        <v>0.4838709677419355</v>
      </c>
      <c r="P24" s="10">
        <f>0+0+0+0+0+0+0+0+0+0+0+0+0+0+0+0+0</f>
        <v>0</v>
      </c>
      <c r="Q24" s="27">
        <f>0+0+0+0+0+0+0+0+0+0+0+0+0+0+0+0+0+0</f>
        <v>0</v>
      </c>
      <c r="R24" s="10">
        <f>2+0+0+0+0+1+0+0+0+0+0+0+0+0+0+0+0+0</f>
        <v>3</v>
      </c>
      <c r="S24" s="10">
        <f>0+0+0+0+0+1+0+0+0+0+0+0+0+0+0+0+0+0</f>
        <v>1</v>
      </c>
      <c r="T24" s="58">
        <f t="shared" si="7"/>
        <v>1.3333333333333333</v>
      </c>
      <c r="U24" s="58">
        <f t="shared" si="2"/>
        <v>0.25</v>
      </c>
      <c r="V24" s="60">
        <v>3</v>
      </c>
    </row>
    <row r="25" spans="1:22" x14ac:dyDescent="0.2">
      <c r="A25" s="10">
        <v>33</v>
      </c>
      <c r="B25" s="10" t="s">
        <v>36</v>
      </c>
      <c r="C25" s="70" t="s">
        <v>130</v>
      </c>
      <c r="D25" s="10">
        <v>8</v>
      </c>
      <c r="E25" s="10">
        <f>0+0+0+0+0+0+0+0+0</f>
        <v>0</v>
      </c>
      <c r="F25" s="10">
        <f>0+0</f>
        <v>0</v>
      </c>
      <c r="G25" s="10">
        <f>0+0+0+0+0+0+0+0+0</f>
        <v>0</v>
      </c>
      <c r="H25" s="10">
        <f>0+0+0+0+0+0+0+0+0</f>
        <v>0</v>
      </c>
      <c r="I25" s="10">
        <f>G25+H25</f>
        <v>0</v>
      </c>
      <c r="J25" s="26" t="e">
        <f t="shared" si="4"/>
        <v>#DIV/0!</v>
      </c>
      <c r="K25" s="26" t="e">
        <f t="shared" si="3"/>
        <v>#DIV/0!</v>
      </c>
      <c r="L25" s="10">
        <f>0+1+0+1+0+1+0+0+0</f>
        <v>3</v>
      </c>
      <c r="M25" s="10"/>
      <c r="N25" s="10"/>
      <c r="O25" s="26"/>
      <c r="P25" s="10">
        <f>0+0+0+0+0+0+0+1+0</f>
        <v>1</v>
      </c>
      <c r="Q25" s="27">
        <f>0+0+0+0+0+0+0+0.5+0</f>
        <v>0.5</v>
      </c>
      <c r="R25" s="10">
        <f>0+0+0+1+0+0+0+0+2</f>
        <v>3</v>
      </c>
      <c r="S25" s="10">
        <f>0+0+0+0+0+0+0+0+1</f>
        <v>1</v>
      </c>
      <c r="T25" s="58">
        <f t="shared" si="7"/>
        <v>1</v>
      </c>
      <c r="U25" s="58">
        <f t="shared" si="2"/>
        <v>0</v>
      </c>
      <c r="V25" s="46">
        <v>5</v>
      </c>
    </row>
    <row r="26" spans="1:22" x14ac:dyDescent="0.2">
      <c r="A26" s="10">
        <v>2</v>
      </c>
      <c r="B26" s="10" t="s">
        <v>57</v>
      </c>
      <c r="C26" s="70" t="s">
        <v>81</v>
      </c>
      <c r="D26" s="10">
        <v>24</v>
      </c>
      <c r="E26" s="10">
        <f>0+1+0+1+1+0+1+1+0+1+0+0+0+0+0+0+0+2+0+3+1+0+0+1</f>
        <v>13</v>
      </c>
      <c r="F26" s="10">
        <f>7+1</f>
        <v>8</v>
      </c>
      <c r="G26" s="10">
        <f>0+0+0+0+0+0+1+0+0+1+0+0+0+0+0+0+0+0+0+1+0+0+0+0</f>
        <v>3</v>
      </c>
      <c r="H26" s="10">
        <f>0+0+0+0+0+0+0+0+0+1+0+0+0+0+0+0+0+0+0+1+0+0+0+1</f>
        <v>3</v>
      </c>
      <c r="I26" s="10">
        <f t="shared" ref="I26:I31" si="8">G26+H26</f>
        <v>6</v>
      </c>
      <c r="J26" s="26">
        <f>G26/E26</f>
        <v>0.23076923076923078</v>
      </c>
      <c r="K26" s="26">
        <f t="shared" si="3"/>
        <v>0.375</v>
      </c>
      <c r="L26" s="10">
        <f>7+3+5+4+10+2+6+8+3+6+8+5+3+1+3+4+2+2+3+12+3+3+6+7</f>
        <v>116</v>
      </c>
      <c r="M26" s="54">
        <f>27+3+17+14</f>
        <v>61</v>
      </c>
      <c r="N26" s="10">
        <f>0+0+1+0</f>
        <v>1</v>
      </c>
      <c r="O26" s="26">
        <f>N26/M26</f>
        <v>1.6393442622950821E-2</v>
      </c>
      <c r="P26" s="10">
        <f>0+0+0+1+0+0+1+0+2+0+2+1+1+0+0+1+0+0+2+1+0+1+0+0</f>
        <v>13</v>
      </c>
      <c r="Q26" s="27">
        <f>0+0+0+0.5+0+0+2+0+2+0+1+1+1+0+0+1+0+0+2+1+0+1+0+0</f>
        <v>12.5</v>
      </c>
      <c r="R26" s="10">
        <f>0+1+1+0+2+1+1+0+0+0+1+0+1+0+1+0+3+2+0+5+4+1+0+1</f>
        <v>25</v>
      </c>
      <c r="S26" s="10">
        <f>4+2+0+3+6+1+3+2+1+2+3+1+2+1+3+1+0+1+1+2+1+1+1+4</f>
        <v>46</v>
      </c>
      <c r="T26" s="58">
        <f t="shared" si="7"/>
        <v>4.4210526315789478</v>
      </c>
      <c r="U26" s="58">
        <f t="shared" si="2"/>
        <v>5.416666666666667</v>
      </c>
      <c r="V26" s="56">
        <v>1</v>
      </c>
    </row>
    <row r="27" spans="1:22" x14ac:dyDescent="0.2">
      <c r="A27" s="10">
        <v>11</v>
      </c>
      <c r="B27" s="10" t="s">
        <v>57</v>
      </c>
      <c r="C27" s="70" t="s">
        <v>86</v>
      </c>
      <c r="D27" s="10">
        <v>22</v>
      </c>
      <c r="E27" s="10">
        <f>0+0+0+0+0+0+0+0+0+0+0+0+0+0+0+0+0+0+0+0+0+0+0</f>
        <v>0</v>
      </c>
      <c r="F27" s="10">
        <f>0+0</f>
        <v>0</v>
      </c>
      <c r="G27" s="10">
        <f>0+0+0+0+0+0+0+0+0+0+0+0+0+0+0+0+0+0+0+0+0+0+0+0</f>
        <v>0</v>
      </c>
      <c r="H27" s="10">
        <f>0+0+0+0+0+0+0+0+0+0+0+0+0+0+0+0+0+0+0+0+0+0+0+0</f>
        <v>0</v>
      </c>
      <c r="I27" s="10">
        <f t="shared" si="8"/>
        <v>0</v>
      </c>
      <c r="J27" s="26" t="e">
        <f>G27/E27</f>
        <v>#DIV/0!</v>
      </c>
      <c r="K27" s="26" t="e">
        <f t="shared" si="3"/>
        <v>#DIV/0!</v>
      </c>
      <c r="L27" s="10">
        <f>0+0+0+0+1+0+0+1+1+4+1+0+0+0+0+0+0+0+0+0+0+0+0+0</f>
        <v>8</v>
      </c>
      <c r="M27" s="10"/>
      <c r="N27" s="10"/>
      <c r="P27" s="10">
        <f>0+0+0+0+0+0+0+0+0+0+0+0+0+0+0+0+0+0+0+0+0+0+0+0</f>
        <v>0</v>
      </c>
      <c r="Q27" s="27">
        <f>0+0+0+0+0+0+0+0+0+0+0+0+0+0+0+0+0+0+0+0+0+0+0+0</f>
        <v>0</v>
      </c>
      <c r="R27" s="10">
        <f>0+0+0+0+1+0+0+0+1+1+0+1+0+0+0+0+0+0+0+0+0+0+0+0</f>
        <v>4</v>
      </c>
      <c r="S27" s="10">
        <f>0+1+0+0+0+0+0+2+0+1+1+0+0+0+0+0+0+0+0+0+0+0+0+0</f>
        <v>5</v>
      </c>
      <c r="T27" s="58">
        <f t="shared" si="7"/>
        <v>3.25</v>
      </c>
      <c r="U27" s="58">
        <f t="shared" si="2"/>
        <v>0.40909090909090912</v>
      </c>
      <c r="V27" s="56">
        <v>2</v>
      </c>
    </row>
    <row r="28" spans="1:22" x14ac:dyDescent="0.2">
      <c r="A28" s="10">
        <v>12</v>
      </c>
      <c r="B28" s="10" t="s">
        <v>57</v>
      </c>
      <c r="C28" s="70" t="s">
        <v>68</v>
      </c>
      <c r="D28" s="10">
        <v>23</v>
      </c>
      <c r="E28" s="10">
        <f>0+0+0+0+1+0+0+2+0+1+0+0+0+1+0+0+1+1+0+0+1+0+0+0</f>
        <v>8</v>
      </c>
      <c r="F28" s="10">
        <f>6+0</f>
        <v>6</v>
      </c>
      <c r="G28" s="10">
        <f>0+0+0+0+0+0+0+0+0+1+0+0+0+0+0+0+0+0+0+0+0+0+0+0</f>
        <v>1</v>
      </c>
      <c r="H28" s="10">
        <f>0+0+0+0+0+0+0+0+0+0+0+0+0+0+0+0+0+0+0+0+0+1+0</f>
        <v>1</v>
      </c>
      <c r="I28" s="10">
        <f t="shared" si="8"/>
        <v>2</v>
      </c>
      <c r="J28" s="26">
        <f t="shared" si="4"/>
        <v>0.125</v>
      </c>
      <c r="K28" s="26">
        <f t="shared" si="3"/>
        <v>0.16666666666666666</v>
      </c>
      <c r="L28" s="10">
        <f>2+3+1+1+4+3+3+8+3+3+4+6+3+1+1+7+4+5+3+0+3+3+4+4</f>
        <v>79</v>
      </c>
      <c r="M28" s="10">
        <f>1+6+2</f>
        <v>9</v>
      </c>
      <c r="N28" s="10">
        <f>1+0+0</f>
        <v>1</v>
      </c>
      <c r="O28" s="26">
        <f>N28/M28</f>
        <v>0.1111111111111111</v>
      </c>
      <c r="P28" s="10">
        <f>0+0+0+0+0+0+0+0+0+0+0+0+1+0+0+0+0+0+0+0+0+0+0+0</f>
        <v>1</v>
      </c>
      <c r="Q28" s="27">
        <f>0+0+0+0+0+0+0+0+0+0+0+0+1+0+0+0+0+0+0+0+0+0+0+0</f>
        <v>1</v>
      </c>
      <c r="R28" s="10">
        <f>0+0+1+0+1+2+0+1+0+0+1+2+0+1+0+4+2+0+0+0+2+2+2+1</f>
        <v>22</v>
      </c>
      <c r="S28" s="10">
        <f>2+3+0+1+1+2+1+0+3+1+2+1+3+1+1+1+2+0+0+0+1+1+2+1</f>
        <v>30</v>
      </c>
      <c r="T28" s="58">
        <f t="shared" si="7"/>
        <v>4.8260869565217392</v>
      </c>
      <c r="U28" s="58">
        <f t="shared" si="2"/>
        <v>3.8260869565217392</v>
      </c>
      <c r="V28" s="10">
        <v>1</v>
      </c>
    </row>
    <row r="29" spans="1:22" x14ac:dyDescent="0.2">
      <c r="A29" s="10">
        <v>30</v>
      </c>
      <c r="B29" s="10" t="s">
        <v>57</v>
      </c>
      <c r="C29" s="70" t="s">
        <v>131</v>
      </c>
      <c r="D29" s="10">
        <v>1</v>
      </c>
      <c r="E29" s="10">
        <f>0+0</f>
        <v>0</v>
      </c>
      <c r="F29" s="10">
        <f>0</f>
        <v>0</v>
      </c>
      <c r="G29" s="10">
        <f>0</f>
        <v>0</v>
      </c>
      <c r="H29" s="10">
        <f>0</f>
        <v>0</v>
      </c>
      <c r="I29" s="10">
        <f t="shared" si="8"/>
        <v>0</v>
      </c>
      <c r="J29" s="26" t="e">
        <f t="shared" si="4"/>
        <v>#DIV/0!</v>
      </c>
      <c r="K29" s="26" t="e">
        <f t="shared" si="3"/>
        <v>#DIV/0!</v>
      </c>
      <c r="L29" s="10">
        <f>1</f>
        <v>1</v>
      </c>
      <c r="M29" s="10"/>
      <c r="N29" s="10"/>
      <c r="O29" s="26"/>
      <c r="P29" s="10">
        <f>0</f>
        <v>0</v>
      </c>
      <c r="Q29" s="27">
        <f>0</f>
        <v>0</v>
      </c>
      <c r="R29" s="10">
        <f>1</f>
        <v>1</v>
      </c>
      <c r="S29" s="10">
        <f>0</f>
        <v>0</v>
      </c>
      <c r="T29" s="27">
        <f t="shared" si="7"/>
        <v>1</v>
      </c>
      <c r="U29" s="27">
        <f t="shared" si="2"/>
        <v>0</v>
      </c>
      <c r="V29" s="10">
        <v>8</v>
      </c>
    </row>
    <row r="30" spans="1:22" x14ac:dyDescent="0.2">
      <c r="A30" s="10">
        <v>13</v>
      </c>
      <c r="B30" s="10" t="s">
        <v>37</v>
      </c>
      <c r="C30" s="70" t="s">
        <v>96</v>
      </c>
      <c r="D30" s="10">
        <v>6</v>
      </c>
      <c r="E30" s="10">
        <f>0+0+0+0+0+0+0+0+0+0+0+0+0+0+0+0+0+0+0+1+0+0+0+0</f>
        <v>1</v>
      </c>
      <c r="F30" s="10">
        <f>1+0</f>
        <v>1</v>
      </c>
      <c r="G30" s="10">
        <f>0+0+0+0+0+0+0+0+0+0+0+0+0+0+0+0+0+0+0+1+0+0+0+0</f>
        <v>1</v>
      </c>
      <c r="H30" s="10">
        <f>0+0+0+0+0+0+0+0+0+0+0+0+0+0+0+0+0+0+0+0+0+0+0</f>
        <v>0</v>
      </c>
      <c r="I30" s="10">
        <f t="shared" si="8"/>
        <v>1</v>
      </c>
      <c r="J30" s="26">
        <f>G30/E30</f>
        <v>1</v>
      </c>
      <c r="K30" s="26">
        <f t="shared" si="3"/>
        <v>1</v>
      </c>
      <c r="L30" s="10">
        <f>0+0+0+0+0+0+0+0+0+0+0+0+0+0+0+0+0+0+0+2+0+0+0+0</f>
        <v>2</v>
      </c>
      <c r="P30" s="10">
        <f>0+0+0+0+0+0+0+0+0+1+0+0+0+0+0+0+0+0+0+0+0+0+0+0</f>
        <v>1</v>
      </c>
      <c r="Q30" s="27">
        <f>0+0+0+0+0+0+0+0+0+1+0+0+0+0+0+0+0+0+0+0+0+0+0+0</f>
        <v>1</v>
      </c>
      <c r="R30" s="10">
        <f>0+0+0+0+0+0+0+0+0+0+0+0+0+0+0+0+0+0+0+4+0+0+0+0</f>
        <v>4</v>
      </c>
      <c r="S30" s="10">
        <f>0+0+0+0+0+0+0+0+0+1+0+0+0+0+0+0+0+0+0+3+0+0+0+0</f>
        <v>4</v>
      </c>
      <c r="T30" s="58">
        <f t="shared" si="7"/>
        <v>1.4</v>
      </c>
      <c r="U30" s="58">
        <f t="shared" si="2"/>
        <v>0.33333333333333331</v>
      </c>
      <c r="V30" s="10">
        <v>7</v>
      </c>
    </row>
    <row r="31" spans="1:22" x14ac:dyDescent="0.2">
      <c r="A31" s="10">
        <v>17</v>
      </c>
      <c r="B31" s="10" t="s">
        <v>79</v>
      </c>
      <c r="C31" s="70" t="s">
        <v>71</v>
      </c>
      <c r="D31" s="10">
        <v>24</v>
      </c>
      <c r="E31" s="10">
        <f>0+0+0+0+0+0+0+0+0+0+0+0+0+0+0+0+0+0+0+4+0+0+0+0</f>
        <v>4</v>
      </c>
      <c r="F31" s="10">
        <f>4+0</f>
        <v>4</v>
      </c>
      <c r="G31" s="10">
        <f>0+0+0+0+0+0+0+0+0+0+0+0+0+0+0+0+0+0+0+2+0+0+0+0</f>
        <v>2</v>
      </c>
      <c r="H31" s="10">
        <f>0+0+0+0+0+0+0+0+0+0+0+0+0+0+0+0+0+0+0+0+0+0+0+0</f>
        <v>0</v>
      </c>
      <c r="I31" s="10">
        <f t="shared" si="8"/>
        <v>2</v>
      </c>
      <c r="J31" s="26">
        <f t="shared" si="4"/>
        <v>0.5</v>
      </c>
      <c r="K31" s="26">
        <f t="shared" si="3"/>
        <v>0.5</v>
      </c>
      <c r="L31" s="10">
        <f>1+1+0+4+3+3+3+1+1+0+1+1+3+2+0+1+1+1+0+11+1+1+0+1</f>
        <v>41</v>
      </c>
      <c r="M31" s="10"/>
      <c r="N31" s="10"/>
      <c r="O31" s="26"/>
      <c r="P31" s="10">
        <f>0+0+0+0+0+0+1+0+2+0+1+0+0+0+0+0+0+0+0+0+0+2+1+0</f>
        <v>7</v>
      </c>
      <c r="Q31" s="27">
        <f>0+0+0+0+0+0+1+0+2+0+1+0+0+0+0+0+0+0+0+0+0+2+1+0</f>
        <v>7</v>
      </c>
      <c r="R31" s="10">
        <f>0+0+0+1+0+0+2+0+0+0+1+2+1+1+1+2+0+1+0+2+1+1+1+0</f>
        <v>17</v>
      </c>
      <c r="S31" s="10">
        <f>1+2+0+3+0+2+1+1+0+1+2+1+1+1+1+0+0+0+0+4+0+3+2+1</f>
        <v>27</v>
      </c>
      <c r="T31" s="58">
        <f>(L31+I31+S31)/(P31+R31)</f>
        <v>2.9166666666666665</v>
      </c>
      <c r="U31" s="58">
        <f t="shared" si="2"/>
        <v>1.9166666666666667</v>
      </c>
      <c r="V31" s="10">
        <v>3</v>
      </c>
    </row>
    <row r="32" spans="1:22" x14ac:dyDescent="0.2">
      <c r="A32" s="10">
        <v>22</v>
      </c>
      <c r="B32" s="10" t="s">
        <v>37</v>
      </c>
      <c r="C32" s="70" t="s">
        <v>80</v>
      </c>
      <c r="D32" s="10">
        <v>21</v>
      </c>
      <c r="E32" s="10">
        <f>0+0+0+0+0+0+0+0+0+0+0+0+0+0+0+0+0+0+0+0+1+0+0+0</f>
        <v>1</v>
      </c>
      <c r="F32" s="10">
        <f>1+0</f>
        <v>1</v>
      </c>
      <c r="G32" s="10">
        <f>0+0+0+0+0+0+0+0+0+0+0+0+0+0+0+0+0+0+0+0+0+0+0+0</f>
        <v>0</v>
      </c>
      <c r="H32" s="10">
        <f>0+0+0+0+0+0+0+0+0+0+0+0+0+0+0+0+0+0+0+0+0+0+0+0</f>
        <v>0</v>
      </c>
      <c r="I32" s="10">
        <f>G32+H32</f>
        <v>0</v>
      </c>
      <c r="J32" s="40">
        <f t="shared" si="4"/>
        <v>0</v>
      </c>
      <c r="K32" s="26">
        <f t="shared" si="3"/>
        <v>0</v>
      </c>
      <c r="L32" s="10">
        <f>2+3+0+3+4+2+3+1+5+1+3+2+0+2+2+0+1+1+4+0+4+4+4+1</f>
        <v>52</v>
      </c>
      <c r="M32" s="10"/>
      <c r="N32" s="10"/>
      <c r="O32" s="26"/>
      <c r="P32" s="10">
        <f>1+0+3+1+0+0+0+0+0+0+0+0+0+0+0+0+0+0+3+0+0+0+0+1</f>
        <v>9</v>
      </c>
      <c r="Q32" s="27">
        <f>1+0+3+1+0+0+0+0+0+0+0+0+0+0+0+0+0+0+3+0+0+0+0+2</f>
        <v>10</v>
      </c>
      <c r="R32" s="10">
        <f>0+2+0+0+0+0+0+1+0+0+1+0+0+0+0+0+0+0+0+0+1+1+0+1</f>
        <v>7</v>
      </c>
      <c r="S32" s="10">
        <f>0+1+0+2+2+1+0+2+1+1+1+1+0+5+3+2+1+2+0+0+0+0+1+0</f>
        <v>26</v>
      </c>
      <c r="T32" s="58">
        <f>(L32+I32+S32)/(P32+R32)</f>
        <v>4.875</v>
      </c>
      <c r="U32" s="58">
        <f t="shared" si="2"/>
        <v>2.9523809523809526</v>
      </c>
      <c r="V32" s="57">
        <v>2</v>
      </c>
    </row>
    <row r="33" spans="1:22" x14ac:dyDescent="0.2">
      <c r="A33" s="10">
        <v>32</v>
      </c>
      <c r="B33" s="10" t="s">
        <v>37</v>
      </c>
      <c r="C33" s="70" t="s">
        <v>97</v>
      </c>
      <c r="D33" s="10">
        <v>6</v>
      </c>
      <c r="E33" s="10">
        <f>0+0+0+0+0+0+0+0+0+0+0+0+0+0+0+0+0+0+0+1+0+0+0+0</f>
        <v>1</v>
      </c>
      <c r="F33" s="10">
        <f>0+0</f>
        <v>0</v>
      </c>
      <c r="G33" s="10">
        <f>0+0+0+0+0+0+0+0+0+0+0+0+0+0+0+0+0+0+0+0+0+0+0+0</f>
        <v>0</v>
      </c>
      <c r="H33" s="10">
        <f>0+0+0+0+0+0+0+0+0+0+0+0+0+0+0+0+0+0+0+0+0+0+0+0</f>
        <v>0</v>
      </c>
      <c r="I33" s="10">
        <f>G33+H33</f>
        <v>0</v>
      </c>
      <c r="J33" s="40">
        <f t="shared" si="4"/>
        <v>0</v>
      </c>
      <c r="K33" s="26" t="e">
        <f t="shared" si="3"/>
        <v>#DIV/0!</v>
      </c>
      <c r="L33" s="10">
        <f>0+0+0+0+0+0+0+0+0+0+0+0+0+0+0+0+0+0+0+2+0+0+0+0</f>
        <v>2</v>
      </c>
      <c r="M33" s="10"/>
      <c r="N33" s="10"/>
      <c r="O33" s="40"/>
      <c r="P33" s="10">
        <f t="shared" ref="P33:Q35" si="9">0+0+0+0+0+0+0+0+0+0+0+0+0+0+0+0+0+0+0+0+0+0+0+0</f>
        <v>0</v>
      </c>
      <c r="Q33" s="27">
        <f t="shared" si="9"/>
        <v>0</v>
      </c>
      <c r="R33" s="10">
        <f>0+0+0+0+0+0+0+0+0+0+0+0+0+0+0+0+0+0+0+1+0+0+0+0</f>
        <v>1</v>
      </c>
      <c r="S33" s="10">
        <f>0+0+0+0+0+0+0+0+0+0+0+0+0+0+0+0+0+0+0+2+0+0+0+0</f>
        <v>2</v>
      </c>
      <c r="T33" s="58">
        <f>(L33+I33+S33)/(P33+R33)</f>
        <v>4</v>
      </c>
      <c r="U33" s="58">
        <f t="shared" si="2"/>
        <v>0.5</v>
      </c>
      <c r="V33" s="57">
        <v>6</v>
      </c>
    </row>
    <row r="34" spans="1:22" x14ac:dyDescent="0.2">
      <c r="A34" s="10">
        <v>34</v>
      </c>
      <c r="B34" s="10" t="s">
        <v>37</v>
      </c>
      <c r="C34" s="70" t="s">
        <v>87</v>
      </c>
      <c r="D34" s="10">
        <v>3</v>
      </c>
      <c r="E34" s="10">
        <f>0+0+0+0+0+0+0+0+0+0+0+0+0+0+0+0+0+0+0+1+0+0+0+0</f>
        <v>1</v>
      </c>
      <c r="F34" s="10">
        <f>0+0</f>
        <v>0</v>
      </c>
      <c r="G34" s="10">
        <f>0+0+0+0+0+0+0+0+0+0+0+0+0+0+0+0+0+0+0+0+0+0+0+0</f>
        <v>0</v>
      </c>
      <c r="H34" s="10">
        <f>0+0+0+0+0+0+0+0+0+0+0+0+0+0+0+0+0+0+0+0+0+0+0+0</f>
        <v>0</v>
      </c>
      <c r="I34" s="10">
        <f>G34+H34</f>
        <v>0</v>
      </c>
      <c r="J34" s="40">
        <f t="shared" si="4"/>
        <v>0</v>
      </c>
      <c r="K34" s="26" t="e">
        <f t="shared" si="3"/>
        <v>#DIV/0!</v>
      </c>
      <c r="L34" s="10">
        <f>0+0+0+0+0+0+0+0+0+0+0+0+0+0+0+0+0+0+3+0+0+0+0</f>
        <v>3</v>
      </c>
      <c r="M34" s="10"/>
      <c r="N34" s="10"/>
      <c r="O34" s="10"/>
      <c r="P34" s="10">
        <f t="shared" si="9"/>
        <v>0</v>
      </c>
      <c r="Q34" s="27">
        <f t="shared" si="9"/>
        <v>0</v>
      </c>
      <c r="R34" s="10">
        <f>0+0+0+0+0+0+0+0+0+0+0+0+0+0+0+0+0+0+0+2+0+0+0+0</f>
        <v>2</v>
      </c>
      <c r="S34" s="10">
        <f>0+0+0+0+0+0+0+0+0+0+0+0+0+0+0+0+0+0+0+2+0+0+0+0</f>
        <v>2</v>
      </c>
      <c r="T34" s="58">
        <f>(L34+I34+S34)/(P34+R34)</f>
        <v>2.5</v>
      </c>
      <c r="U34" s="58">
        <f t="shared" si="2"/>
        <v>1</v>
      </c>
      <c r="V34" s="10">
        <v>5</v>
      </c>
    </row>
    <row r="35" spans="1:22" x14ac:dyDescent="0.2">
      <c r="A35" s="10">
        <v>99</v>
      </c>
      <c r="B35" s="10" t="s">
        <v>37</v>
      </c>
      <c r="C35" s="70" t="s">
        <v>98</v>
      </c>
      <c r="D35" s="10">
        <v>9</v>
      </c>
      <c r="E35" s="10">
        <f>0+0+0+0+0+0+0+0+0+0+0+0+0+0+0+0+0+0+0+0+1+0+0+0+0</f>
        <v>1</v>
      </c>
      <c r="F35" s="10">
        <f>1+0</f>
        <v>1</v>
      </c>
      <c r="G35" s="10">
        <f>0+0+0+0+0+0+0+0+0+0+0+0+0+0+0+0+0+0+0+1+0+0+0+0</f>
        <v>1</v>
      </c>
      <c r="H35" s="10">
        <f>0+0+0+0+0+0+0+0+0+0+0+0+0+0+0+0+0+0+0+1+0+0+0+0</f>
        <v>1</v>
      </c>
      <c r="I35" s="10">
        <f>G35+H35</f>
        <v>2</v>
      </c>
      <c r="J35" s="40">
        <f t="shared" si="4"/>
        <v>1</v>
      </c>
      <c r="K35" s="26">
        <f t="shared" si="3"/>
        <v>1</v>
      </c>
      <c r="L35" s="10">
        <f>0+0+0+0+1+0+0+1+0+0+0+0+2+0+0+0+0+0+0+5+0+0+0+0</f>
        <v>9</v>
      </c>
      <c r="M35" s="10"/>
      <c r="N35" s="10"/>
      <c r="O35" s="10"/>
      <c r="P35" s="10">
        <f t="shared" si="9"/>
        <v>0</v>
      </c>
      <c r="Q35" s="27">
        <f t="shared" si="9"/>
        <v>0</v>
      </c>
      <c r="R35" s="10">
        <f>0+0+0+0+0+0+0+0+0+0+0+0+0+0+0+0+0+0+0+5+0+0+0+0</f>
        <v>5</v>
      </c>
      <c r="S35" s="10">
        <f>0+0+0+0+1+0+0+0+0+1+0+0+0+0+0+0+0+0+0+3+0+0+0+0</f>
        <v>5</v>
      </c>
      <c r="T35" s="58">
        <f>(L35+I35+S35)/(P35+R35)</f>
        <v>3.2</v>
      </c>
      <c r="U35" s="58">
        <f t="shared" si="2"/>
        <v>1.2222222222222223</v>
      </c>
      <c r="V35" s="10">
        <v>4</v>
      </c>
    </row>
    <row r="36" spans="1:22" x14ac:dyDescent="0.2">
      <c r="C36" s="70"/>
      <c r="D36" s="10"/>
      <c r="E36" s="10"/>
      <c r="F36" s="10"/>
      <c r="G36" s="10"/>
      <c r="H36" s="10"/>
      <c r="I36" s="10"/>
      <c r="J36" s="26"/>
      <c r="K36" s="26"/>
      <c r="L36" s="10"/>
      <c r="M36" s="10"/>
      <c r="N36" s="10"/>
      <c r="O36" s="10"/>
      <c r="P36" s="10"/>
      <c r="Q36" s="27"/>
      <c r="T36" s="27"/>
      <c r="U36" s="27"/>
    </row>
    <row r="37" spans="1:22" x14ac:dyDescent="0.2">
      <c r="A37" s="10">
        <v>21</v>
      </c>
      <c r="B37" s="10" t="s">
        <v>38</v>
      </c>
      <c r="C37" s="70" t="s">
        <v>72</v>
      </c>
      <c r="D37" s="10">
        <v>19</v>
      </c>
      <c r="E37" s="10">
        <f>0+0+0+0+0+0+0+0+0+0+0+0+0+0+0+0+0+0+0+2+0+0+0+0</f>
        <v>2</v>
      </c>
      <c r="F37" s="10">
        <f>2+0</f>
        <v>2</v>
      </c>
      <c r="G37" s="10">
        <f>0+0+0+0+0+0+0+0+0+0+0+0+0+0+0+0+0+0+0+1+0+0+0+0</f>
        <v>1</v>
      </c>
      <c r="H37" s="10">
        <f>0+0+0+0+0+0+0+0+0+0+0+0+0+0+0+0+0+0+0+0+0+0+0+0</f>
        <v>0</v>
      </c>
      <c r="I37" s="10">
        <f>G37+H37</f>
        <v>1</v>
      </c>
      <c r="J37" s="26">
        <f>G37/E37</f>
        <v>0.5</v>
      </c>
      <c r="K37" s="26">
        <f t="shared" si="3"/>
        <v>0.5</v>
      </c>
      <c r="L37" s="10">
        <f>0+1+0+0+0+0+2+0+1+0+0+1+0+0+0+2+0+0+0+2+0+0+0+2</f>
        <v>11</v>
      </c>
      <c r="M37" s="10"/>
      <c r="N37" s="10"/>
      <c r="P37" s="10">
        <f>0+0+0+0+0+0+0+0+0+0+0+0+0+0+0+0+0+0+0+0+0+0+0+0</f>
        <v>0</v>
      </c>
      <c r="Q37" s="27">
        <f>0+0+0+0+0+0+0+0+0+0+0+0+0+0+0+0+0+0+0+0+0+0+0+0</f>
        <v>0</v>
      </c>
      <c r="R37" s="10">
        <f>0+0+0+0+0+1+0+0+1+0+0+1+2+0+0+0+0+0+0+2+0+0+0+1</f>
        <v>8</v>
      </c>
      <c r="S37" s="10">
        <f>0+0+0+0+0+0+0+0+0+0+0+0+0+0+0+0+0+0+0+2+0+0+0+0</f>
        <v>2</v>
      </c>
      <c r="T37" s="58">
        <f>(L37+I37+S37)+(F47/3)/(P37+R37)</f>
        <v>17.125</v>
      </c>
      <c r="U37" s="58">
        <f>((I37+L37+S37-P37-R37)+(F47/3))/D37</f>
        <v>1.631578947368421</v>
      </c>
      <c r="V37" s="38">
        <v>2</v>
      </c>
    </row>
    <row r="38" spans="1:22" x14ac:dyDescent="0.2">
      <c r="A38" s="10">
        <v>29</v>
      </c>
      <c r="B38" s="10" t="s">
        <v>38</v>
      </c>
      <c r="C38" s="70" t="s">
        <v>78</v>
      </c>
      <c r="D38" s="10">
        <v>23</v>
      </c>
      <c r="E38" s="10">
        <f>0+0+0+0+0+0+0+0+0+0+0+0+0+0+0+0+0+0+0+6+0+0+0+0</f>
        <v>6</v>
      </c>
      <c r="F38" s="10">
        <f>2+0</f>
        <v>2</v>
      </c>
      <c r="G38" s="10">
        <f>0+0+0+0+0+0+0+0+0+0+0+0+0+0+0+0+0+0+0+2+0+0+0+0</f>
        <v>2</v>
      </c>
      <c r="H38" s="10">
        <f>0+0+0+0+0+0+0+0+0+0+0+0+0+0+0+0+0+0+0+0+0+0+0+0</f>
        <v>0</v>
      </c>
      <c r="I38" s="10">
        <f>G38+H38</f>
        <v>2</v>
      </c>
      <c r="J38" s="26">
        <f>G38/E38</f>
        <v>0.33333333333333331</v>
      </c>
      <c r="K38" s="26">
        <f t="shared" si="3"/>
        <v>1</v>
      </c>
      <c r="L38" s="10">
        <f>0+0+0+0+0+2+1+0+1+1+1+3+0+3+3+0+0+0+1+0+1+1+2+0</f>
        <v>20</v>
      </c>
      <c r="M38" s="10"/>
      <c r="N38" s="10"/>
      <c r="P38" s="10">
        <f>0+0+0+0+0+0+0+0+0+0+0+0+0+0+0+0+0+0+0+0+0+0+0+0</f>
        <v>0</v>
      </c>
      <c r="Q38" s="27">
        <f>0+0+0+0+0+0+0+0+0+0+0+0+0+0+0+0+0+0+0+0+0+0+0+0</f>
        <v>0</v>
      </c>
      <c r="R38" s="10">
        <f>0+0+1+2+0+0+0+0+0+0+0+2+1+0+1+0+0+0+0+1+3+2+1+2</f>
        <v>16</v>
      </c>
      <c r="S38" s="10">
        <f>0+0+0+0+0+0+0+0+0+0+0+0+0+0+0+0+0+0+0+0+1+0+0+0</f>
        <v>1</v>
      </c>
      <c r="T38" s="58">
        <f>(L38+I38+S38)+(F48/3)/(P38+R38)</f>
        <v>26.520833333333332</v>
      </c>
      <c r="U38" s="58">
        <f>((I38+L38+S38-P38-R38)+(F48/3))/D38</f>
        <v>2.7536231884057973</v>
      </c>
      <c r="V38" s="38">
        <v>1</v>
      </c>
    </row>
    <row r="39" spans="1:22" x14ac:dyDescent="0.2">
      <c r="A39" s="10">
        <v>28</v>
      </c>
      <c r="B39" s="10" t="s">
        <v>38</v>
      </c>
      <c r="C39" s="70" t="s">
        <v>83</v>
      </c>
      <c r="D39" s="10">
        <v>2</v>
      </c>
      <c r="E39" s="10">
        <f>0+0+0</f>
        <v>0</v>
      </c>
      <c r="F39" s="10"/>
      <c r="G39" s="10">
        <f>0+0+0</f>
        <v>0</v>
      </c>
      <c r="H39" s="10">
        <f>0+0+0</f>
        <v>0</v>
      </c>
      <c r="I39" s="10">
        <f>G39+H39</f>
        <v>0</v>
      </c>
      <c r="J39" s="26" t="e">
        <f>G39/E39</f>
        <v>#DIV/0!</v>
      </c>
      <c r="K39" s="26" t="e">
        <f t="shared" si="3"/>
        <v>#DIV/0!</v>
      </c>
      <c r="L39" s="10">
        <f>0+1+0</f>
        <v>1</v>
      </c>
      <c r="M39" s="10"/>
      <c r="N39" s="10"/>
      <c r="P39" s="10">
        <f>0+0+0</f>
        <v>0</v>
      </c>
      <c r="Q39" s="27">
        <f>0+0+0</f>
        <v>0</v>
      </c>
      <c r="R39" s="10">
        <f>0+0+0</f>
        <v>0</v>
      </c>
      <c r="S39" s="10">
        <f>0+0+0</f>
        <v>0</v>
      </c>
      <c r="T39" s="27" t="e">
        <f>(L39+I39+S39)+(F49/3)/(P39+R39)</f>
        <v>#DIV/0!</v>
      </c>
      <c r="U39" s="58">
        <f>((I39+L39+S39-P39-R39)+(F49/3))/D39</f>
        <v>1</v>
      </c>
      <c r="V39" s="38"/>
    </row>
    <row r="40" spans="1:22" x14ac:dyDescent="0.2"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7"/>
    </row>
    <row r="41" spans="1:22" x14ac:dyDescent="0.2">
      <c r="A41" s="10" t="s">
        <v>67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32"/>
      <c r="R41" s="32"/>
      <c r="S41" s="32"/>
      <c r="U41" s="27"/>
    </row>
    <row r="42" spans="1:22" x14ac:dyDescent="0.2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P42" s="10"/>
      <c r="Q42" s="10"/>
    </row>
    <row r="43" spans="1:22" x14ac:dyDescent="0.2">
      <c r="D43" s="10"/>
      <c r="E43" s="10"/>
      <c r="F43" s="10"/>
      <c r="G43" s="10"/>
      <c r="H43" s="10"/>
      <c r="I43" s="10"/>
      <c r="J43" s="10"/>
      <c r="K43" s="15"/>
      <c r="L43" s="10"/>
      <c r="M43" s="15"/>
      <c r="N43" s="15"/>
      <c r="O43" s="15"/>
      <c r="P43" s="10"/>
      <c r="Q43" s="10"/>
      <c r="R43" s="15"/>
      <c r="S43" s="15"/>
    </row>
    <row r="44" spans="1:22" x14ac:dyDescent="0.2">
      <c r="C44" s="12" t="s">
        <v>30</v>
      </c>
      <c r="D44" s="10"/>
      <c r="E44" s="13">
        <f>SUM(E3:E43)</f>
        <v>841</v>
      </c>
      <c r="F44" s="13">
        <f>SUM(F3:F43)</f>
        <v>576</v>
      </c>
      <c r="G44" s="13">
        <f>SUM(G3:G43)</f>
        <v>350</v>
      </c>
      <c r="H44" s="13">
        <f>SUM(H3:H43)</f>
        <v>224</v>
      </c>
      <c r="I44" s="61" t="s">
        <v>132</v>
      </c>
      <c r="J44" s="36">
        <f>G44/E44</f>
        <v>0.41617122473246138</v>
      </c>
      <c r="K44" s="26">
        <f>G44/F44</f>
        <v>0.60763888888888884</v>
      </c>
      <c r="L44" s="13">
        <f>SUM(L3:L43)</f>
        <v>902</v>
      </c>
      <c r="M44" s="10">
        <f>SUM(M3:M43)</f>
        <v>600</v>
      </c>
      <c r="N44" s="10">
        <f>SUM(N3:N43)</f>
        <v>289</v>
      </c>
      <c r="O44" s="26">
        <f>N44/M44</f>
        <v>0.48166666666666669</v>
      </c>
      <c r="P44" s="13">
        <f>SUM(P3:P43)</f>
        <v>73</v>
      </c>
      <c r="Q44" s="13">
        <f>SUM(Q3:Q43)</f>
        <v>74</v>
      </c>
      <c r="R44" s="10">
        <f>SUM(R3:R43)</f>
        <v>390</v>
      </c>
      <c r="S44" s="10">
        <f>SUM(S3:S43)</f>
        <v>281</v>
      </c>
    </row>
    <row r="45" spans="1:22" x14ac:dyDescent="0.2">
      <c r="C45" s="12" t="s">
        <v>119</v>
      </c>
      <c r="E45" s="27">
        <f>E44/D52</f>
        <v>35.041666666666664</v>
      </c>
      <c r="F45" s="27">
        <f>F44/D52</f>
        <v>24</v>
      </c>
      <c r="G45" s="27">
        <f>G44/D52</f>
        <v>14.583333333333334</v>
      </c>
      <c r="H45" s="27">
        <f>H44/D52</f>
        <v>9.3333333333333339</v>
      </c>
      <c r="I45" s="62">
        <f>H44/G44</f>
        <v>0.64</v>
      </c>
      <c r="L45" s="10">
        <f>L44/D52</f>
        <v>37.583333333333336</v>
      </c>
      <c r="P45" s="10">
        <f>P44/D52</f>
        <v>3.0416666666666665</v>
      </c>
      <c r="Q45" s="10">
        <f>Q44/D52</f>
        <v>3.0833333333333335</v>
      </c>
      <c r="R45" s="10">
        <f>R44/D52</f>
        <v>16.25</v>
      </c>
      <c r="S45" s="10">
        <f>S44/D52</f>
        <v>11.708333333333334</v>
      </c>
    </row>
    <row r="46" spans="1:22" ht="26" x14ac:dyDescent="0.2">
      <c r="C46" s="2"/>
      <c r="D46" s="3" t="s">
        <v>10</v>
      </c>
      <c r="E46" s="3" t="s">
        <v>55</v>
      </c>
      <c r="F46" s="3" t="s">
        <v>11</v>
      </c>
      <c r="G46" s="29" t="s">
        <v>52</v>
      </c>
      <c r="H46" s="3" t="s">
        <v>56</v>
      </c>
      <c r="I46" s="3" t="s">
        <v>116</v>
      </c>
      <c r="J46" s="3"/>
      <c r="K46" s="3" t="s">
        <v>117</v>
      </c>
      <c r="Q46" s="10"/>
      <c r="V46"/>
    </row>
    <row r="47" spans="1:22" x14ac:dyDescent="0.2">
      <c r="C47" t="s">
        <v>72</v>
      </c>
      <c r="D47" s="5">
        <v>15</v>
      </c>
      <c r="E47" s="5">
        <f>4+3+11+11+4+6+14+7+8+1+7+8+13+0+0+14+9+0+6+2+0+0+8</f>
        <v>136</v>
      </c>
      <c r="F47" s="5">
        <f>3+2+3+6+1+3+9+4+5+1+7+2+7+0+0+10+4+0+2+2+0+0+4</f>
        <v>75</v>
      </c>
      <c r="G47" s="50">
        <f>F47/D37</f>
        <v>3.9473684210526314</v>
      </c>
      <c r="H47" s="26">
        <f>F47/E47</f>
        <v>0.55147058823529416</v>
      </c>
      <c r="I47" s="5">
        <f>24+24+24+24+19+24+24+24+24+24+12+24+24+48+24+12+24+17+24</f>
        <v>444</v>
      </c>
      <c r="J47" s="5"/>
      <c r="K47">
        <f>(E47-F47)/(I47/48)</f>
        <v>6.5945945945945947</v>
      </c>
      <c r="N47" s="19" t="s">
        <v>40</v>
      </c>
      <c r="O47" s="19" t="s">
        <v>41</v>
      </c>
      <c r="Q47" s="10"/>
      <c r="V47"/>
    </row>
    <row r="48" spans="1:22" x14ac:dyDescent="0.2">
      <c r="C48" t="s">
        <v>78</v>
      </c>
      <c r="D48" s="49">
        <v>9</v>
      </c>
      <c r="E48" s="49">
        <f>3+10+12+20+2+6+9+7+7+2+19+15+7+28+30+0+17+6+8+0+27+16+18+19</f>
        <v>288</v>
      </c>
      <c r="F48" s="49">
        <f>3+5+5+10+2+5+5+4+6+0+14+9+3+15+19+0+11+3+7+0+12+11+11+9</f>
        <v>169</v>
      </c>
      <c r="G48" s="50">
        <f>F48/D38</f>
        <v>7.3478260869565215</v>
      </c>
      <c r="H48" s="51">
        <f>F48/E48</f>
        <v>0.58680555555555558</v>
      </c>
      <c r="I48" s="5">
        <f>24+24+24+28+22+24+24+24+24+24+19+24+24+48+48+24+36+24+12+48+48+48+24</f>
        <v>669</v>
      </c>
      <c r="J48" s="5"/>
      <c r="K48">
        <f>(E48-F48)/(I48/48)</f>
        <v>8.5381165919282509</v>
      </c>
      <c r="L48" s="12" t="s">
        <v>31</v>
      </c>
      <c r="N48" s="10">
        <f>7+4+7+3+2+3+8+6+2+0+7+4+3+3+6+0+5+5+3+1+7+4+3+9</f>
        <v>102</v>
      </c>
      <c r="O48" s="10">
        <f>8+3+7+2.5+2.5+1.5+6.5+5+2+0+7+3+4.5+2.5+4.5+0+3.5+5.5+2.5+0.5+9+3+1.5+6</f>
        <v>91</v>
      </c>
      <c r="P48" s="14"/>
      <c r="Q48" s="10"/>
      <c r="V48"/>
    </row>
    <row r="49" spans="3:22" x14ac:dyDescent="0.2">
      <c r="C49" t="s">
        <v>83</v>
      </c>
      <c r="E49" s="49">
        <f>0+3+2</f>
        <v>5</v>
      </c>
      <c r="F49" s="49">
        <f>0+1+2</f>
        <v>3</v>
      </c>
      <c r="G49" s="50">
        <f>F49/D39</f>
        <v>1.5</v>
      </c>
      <c r="H49" s="51">
        <f>F49/E49</f>
        <v>0.6</v>
      </c>
      <c r="I49" s="49">
        <f>7+17+19</f>
        <v>43</v>
      </c>
      <c r="J49" s="10"/>
      <c r="K49">
        <f>(E49-F49)/(I49/48)</f>
        <v>2.2325581395348837</v>
      </c>
      <c r="N49" s="10">
        <f>N48/D52</f>
        <v>4.25</v>
      </c>
      <c r="O49" s="10">
        <f>O48/D52</f>
        <v>3.7916666666666665</v>
      </c>
      <c r="Q49" s="10"/>
      <c r="V49"/>
    </row>
    <row r="50" spans="3:22" x14ac:dyDescent="0.2">
      <c r="C50" s="16"/>
      <c r="D50" s="5"/>
      <c r="E50" s="5"/>
      <c r="F50" s="5"/>
      <c r="G50" s="31"/>
      <c r="H50" s="11"/>
      <c r="I50" s="5"/>
      <c r="J50" s="5"/>
      <c r="Q50" s="10"/>
      <c r="V50"/>
    </row>
    <row r="51" spans="3:22" x14ac:dyDescent="0.2">
      <c r="C51" s="6" t="s">
        <v>19</v>
      </c>
      <c r="D51" s="3" t="s">
        <v>29</v>
      </c>
      <c r="E51" s="3" t="s">
        <v>20</v>
      </c>
      <c r="F51" s="3" t="s">
        <v>21</v>
      </c>
      <c r="G51" s="17" t="s">
        <v>39</v>
      </c>
      <c r="I51" s="3"/>
      <c r="J51" s="9"/>
      <c r="N51" s="12"/>
      <c r="Q51" s="10"/>
      <c r="V51"/>
    </row>
    <row r="52" spans="3:22" x14ac:dyDescent="0.2">
      <c r="C52" s="4"/>
      <c r="D52" s="5">
        <v>24</v>
      </c>
      <c r="E52" s="5">
        <f>12+18+11+17+14+14+20+17+14+8+16+10+18+16+18+11+12+18+8+20+12+14+16+19</f>
        <v>353</v>
      </c>
      <c r="F52" s="5">
        <f>2+2+4+2+1+4+6+3+3+2+5+10+6+4+4+6+4+2+1+5+5+5+2+7</f>
        <v>95</v>
      </c>
      <c r="G52" s="35">
        <f>E52/(F52+E52)</f>
        <v>0.7879464285714286</v>
      </c>
      <c r="I52" s="5"/>
      <c r="J52" s="5"/>
      <c r="L52" s="12"/>
      <c r="N52" s="27"/>
      <c r="P52" t="s">
        <v>118</v>
      </c>
      <c r="Q52" s="10"/>
      <c r="V52"/>
    </row>
    <row r="53" spans="3:22" x14ac:dyDescent="0.2">
      <c r="C53" s="4"/>
      <c r="D53" s="5"/>
      <c r="E53" s="5"/>
      <c r="F53" s="5"/>
      <c r="G53" s="2"/>
      <c r="I53" s="5"/>
      <c r="J53" s="5"/>
      <c r="Q53" s="10"/>
      <c r="R53" s="10" t="s">
        <v>114</v>
      </c>
      <c r="S53" s="10" t="s">
        <v>113</v>
      </c>
      <c r="T53" s="10" t="s">
        <v>113</v>
      </c>
      <c r="V53"/>
    </row>
    <row r="54" spans="3:22" x14ac:dyDescent="0.2">
      <c r="C54" s="6" t="s">
        <v>27</v>
      </c>
      <c r="D54" s="3" t="s">
        <v>29</v>
      </c>
      <c r="E54" s="3" t="s">
        <v>20</v>
      </c>
      <c r="F54" s="3" t="s">
        <v>21</v>
      </c>
      <c r="G54" s="17" t="s">
        <v>39</v>
      </c>
      <c r="I54" s="3"/>
      <c r="J54" s="9"/>
      <c r="M54" s="10"/>
      <c r="Q54" s="10"/>
      <c r="R54" s="10" t="s">
        <v>115</v>
      </c>
      <c r="S54" s="10" t="s">
        <v>111</v>
      </c>
      <c r="T54" s="10" t="s">
        <v>112</v>
      </c>
      <c r="V54"/>
    </row>
    <row r="55" spans="3:22" x14ac:dyDescent="0.2">
      <c r="C55" s="4"/>
      <c r="D55" s="5">
        <v>24</v>
      </c>
      <c r="E55" s="5">
        <f>5+9+8+8+9+5+6+12+8+3+5+8+9+15+6+13+13+11+9+9+14+17+8+7</f>
        <v>217</v>
      </c>
      <c r="F55" s="5">
        <f>11+6+3+4+14+11+12+8+12+10+7+7+9+2+8+5+5+12+0+16+4+5+5+11</f>
        <v>187</v>
      </c>
      <c r="G55" s="35">
        <f>E55/(F55+E55)</f>
        <v>0.53712871287128716</v>
      </c>
      <c r="I55" s="5"/>
      <c r="J55" s="5"/>
      <c r="L55" s="24" t="s">
        <v>120</v>
      </c>
      <c r="N55">
        <f>29+22+18+30+31+22+23+38+24+29+30+17+28+8+22+17+15+29+27+27+21+23+24+22</f>
        <v>576</v>
      </c>
      <c r="P55" s="41">
        <f>N55/D52</f>
        <v>24</v>
      </c>
      <c r="Q55" s="10"/>
      <c r="R55" s="42">
        <f>N55/E44</f>
        <v>0.68489892984542211</v>
      </c>
      <c r="S55" s="26">
        <f>G44/N55</f>
        <v>0.60763888888888884</v>
      </c>
      <c r="T55" s="26">
        <f>+G44/E44</f>
        <v>0.41617122473246138</v>
      </c>
      <c r="V55"/>
    </row>
    <row r="56" spans="3:22" x14ac:dyDescent="0.2">
      <c r="C56" s="4"/>
      <c r="D56" s="5"/>
      <c r="E56" s="5"/>
      <c r="F56" s="5"/>
      <c r="G56" s="2"/>
      <c r="I56" s="5"/>
      <c r="J56" s="5"/>
      <c r="Q56" s="10"/>
      <c r="V56"/>
    </row>
    <row r="57" spans="3:22" x14ac:dyDescent="0.2">
      <c r="C57" s="6" t="s">
        <v>22</v>
      </c>
      <c r="D57" s="3" t="s">
        <v>29</v>
      </c>
      <c r="E57" s="3" t="s">
        <v>23</v>
      </c>
      <c r="F57" s="3" t="s">
        <v>24</v>
      </c>
      <c r="G57" s="17" t="s">
        <v>39</v>
      </c>
      <c r="I57" s="3"/>
      <c r="J57" s="9"/>
      <c r="Q57" s="10"/>
      <c r="V57"/>
    </row>
    <row r="58" spans="3:22" x14ac:dyDescent="0.2">
      <c r="C58" s="4"/>
      <c r="D58" s="5">
        <v>24</v>
      </c>
      <c r="E58" s="5">
        <f>4+4+4+1+2+1+3+5+1+0+2+2+0+2+0+1+3+3+1+3+0+3+3</f>
        <v>48</v>
      </c>
      <c r="F58" s="5">
        <f>2+0+2+2+0+2+2+0+1+0+3+1+3+3+0+4+1+0+0+4+3+0+5</f>
        <v>38</v>
      </c>
      <c r="G58" s="35">
        <f>E58/(F58+E58)</f>
        <v>0.55813953488372092</v>
      </c>
      <c r="I58" s="5"/>
      <c r="J58" s="5"/>
      <c r="Q58" s="10"/>
      <c r="V58"/>
    </row>
    <row r="59" spans="3:22" x14ac:dyDescent="0.2">
      <c r="C59" s="4"/>
      <c r="D59" s="5"/>
      <c r="E59" s="5"/>
      <c r="F59" s="5"/>
      <c r="G59" s="2"/>
      <c r="I59" s="5"/>
      <c r="J59" s="5"/>
      <c r="Q59" s="10"/>
      <c r="V59"/>
    </row>
    <row r="60" spans="3:22" x14ac:dyDescent="0.2">
      <c r="C60" s="6" t="s">
        <v>25</v>
      </c>
      <c r="D60" s="3" t="s">
        <v>29</v>
      </c>
      <c r="E60" s="3" t="s">
        <v>23</v>
      </c>
      <c r="F60" s="3" t="s">
        <v>24</v>
      </c>
      <c r="G60" s="17" t="s">
        <v>39</v>
      </c>
      <c r="I60" s="3"/>
      <c r="J60" s="9"/>
      <c r="Q60" s="10"/>
      <c r="V60"/>
    </row>
    <row r="61" spans="3:22" x14ac:dyDescent="0.2">
      <c r="C61" s="4" t="s">
        <v>110</v>
      </c>
      <c r="D61" s="5">
        <v>24</v>
      </c>
      <c r="E61" s="5">
        <f>0+0+2+3+0+1+3+0+2+1+1+2+1+0+1+0+0+0+0+1+1+2+2</f>
        <v>23</v>
      </c>
      <c r="F61" s="5">
        <f>6+3+3+2+1+1+3+3+1+0+2+2+1+1+2+0+0+4+2+3+3+1+1</f>
        <v>45</v>
      </c>
      <c r="G61" s="35">
        <f>E61/(F61+E61)</f>
        <v>0.33823529411764708</v>
      </c>
      <c r="I61" s="5"/>
      <c r="J61" s="5"/>
      <c r="M61" s="10"/>
      <c r="P61" t="s">
        <v>118</v>
      </c>
      <c r="Q61" s="10"/>
      <c r="V61"/>
    </row>
    <row r="62" spans="3:22" x14ac:dyDescent="0.2">
      <c r="C62" s="4" t="s">
        <v>109</v>
      </c>
      <c r="D62" s="5">
        <v>24</v>
      </c>
      <c r="E62" s="5">
        <f>0+0+5+3+0+1+3+0+2+1+1+2+1+0+1+0+0+0+0+1+1+2+3</f>
        <v>27</v>
      </c>
      <c r="F62" s="5">
        <f>6+3+3+2+1+1+3+3+1+0+2+2+1+1+2+0+0+4+2+3+3+1+1</f>
        <v>45</v>
      </c>
      <c r="G62" s="35">
        <f>E62/(F62+E62)</f>
        <v>0.375</v>
      </c>
      <c r="I62" s="5"/>
      <c r="J62" s="5"/>
      <c r="L62" s="24" t="s">
        <v>51</v>
      </c>
      <c r="N62">
        <f>7+13+23+31+6+12+23+14+15+6+27+22+20+28+30+14+26+6+14+4+27+16+18+27</f>
        <v>429</v>
      </c>
      <c r="P62">
        <f>N62/D52</f>
        <v>17.875</v>
      </c>
      <c r="Q62" s="10"/>
      <c r="V62"/>
    </row>
    <row r="63" spans="3:22" x14ac:dyDescent="0.2">
      <c r="C63" s="2"/>
      <c r="D63" s="2"/>
      <c r="E63" s="2"/>
      <c r="F63" s="2"/>
      <c r="G63" s="2"/>
      <c r="I63" s="2"/>
      <c r="J63" s="2"/>
      <c r="Q63" s="10"/>
      <c r="V63"/>
    </row>
    <row r="64" spans="3:22" x14ac:dyDescent="0.2">
      <c r="C64" s="6" t="s">
        <v>12</v>
      </c>
      <c r="D64" s="3" t="s">
        <v>13</v>
      </c>
      <c r="E64" s="3"/>
      <c r="F64" s="3" t="s">
        <v>14</v>
      </c>
      <c r="G64" s="2"/>
      <c r="I64" s="9"/>
      <c r="J64" s="9"/>
      <c r="N64" s="10"/>
      <c r="Q64" s="10"/>
      <c r="V64"/>
    </row>
    <row r="65" spans="1:22" x14ac:dyDescent="0.2">
      <c r="C65" s="6" t="s">
        <v>15</v>
      </c>
      <c r="D65" s="7">
        <f>21+17+16+16+19+16+15+19+14+24+15+10+16+4+10+13+4+15+18+22+11+8+15+12</f>
        <v>350</v>
      </c>
      <c r="E65" s="7"/>
      <c r="F65" s="7">
        <f>1+6+15+15+3+4+9+6+4+4+6+11+10+13+11+4+11+3+5+0+15+5+7+14</f>
        <v>182</v>
      </c>
      <c r="G65" s="2"/>
      <c r="I65" s="9"/>
      <c r="J65" s="9"/>
      <c r="L65" s="24" t="s">
        <v>50</v>
      </c>
      <c r="N65">
        <f>27+22+8+20+24+20+26+25+27+23+19+25+25+11+19+12+17+29+6+35+10+20+13+25</f>
        <v>488</v>
      </c>
      <c r="P65">
        <f>N65/D52</f>
        <v>20.333333333333332</v>
      </c>
      <c r="Q65" s="10"/>
      <c r="V65"/>
    </row>
    <row r="66" spans="1:22" x14ac:dyDescent="0.2">
      <c r="C66" s="6" t="s">
        <v>16</v>
      </c>
      <c r="D66" s="8">
        <f>D65/D61</f>
        <v>14.583333333333334</v>
      </c>
      <c r="E66" s="8"/>
      <c r="F66" s="8">
        <f>F65/D61</f>
        <v>7.583333333333333</v>
      </c>
      <c r="G66" s="2"/>
      <c r="I66" s="8"/>
      <c r="J66" s="8"/>
      <c r="Q66" s="10"/>
      <c r="V66"/>
    </row>
    <row r="67" spans="1:22" x14ac:dyDescent="0.2">
      <c r="C67" s="6" t="s">
        <v>17</v>
      </c>
      <c r="D67" s="9">
        <v>18</v>
      </c>
      <c r="E67" s="9"/>
      <c r="F67" s="9">
        <v>6</v>
      </c>
      <c r="G67" s="9" t="s">
        <v>18</v>
      </c>
      <c r="H67" s="42">
        <f>D67/(D67+F67)</f>
        <v>0.75</v>
      </c>
      <c r="I67" s="9"/>
      <c r="J67" s="9"/>
      <c r="Q67" s="10"/>
      <c r="V67"/>
    </row>
    <row r="68" spans="1:22" x14ac:dyDescent="0.2">
      <c r="D68" s="10" t="s">
        <v>136</v>
      </c>
      <c r="F68" s="10" t="s">
        <v>137</v>
      </c>
      <c r="Q68" s="10"/>
      <c r="V68"/>
    </row>
    <row r="69" spans="1:22" x14ac:dyDescent="0.2">
      <c r="Q69" s="10"/>
      <c r="V69"/>
    </row>
    <row r="70" spans="1:22" x14ac:dyDescent="0.2">
      <c r="Q70" s="10"/>
      <c r="V70"/>
    </row>
    <row r="71" spans="1:22" x14ac:dyDescent="0.2">
      <c r="Q71" s="10"/>
      <c r="V71"/>
    </row>
    <row r="72" spans="1:22" x14ac:dyDescent="0.2">
      <c r="C72" s="18" t="s">
        <v>42</v>
      </c>
      <c r="D72" s="19" t="s">
        <v>44</v>
      </c>
      <c r="E72" s="19" t="s">
        <v>45</v>
      </c>
      <c r="F72" s="19" t="s">
        <v>46</v>
      </c>
      <c r="G72" s="19" t="s">
        <v>47</v>
      </c>
      <c r="H72" s="19" t="s">
        <v>48</v>
      </c>
      <c r="I72" s="19"/>
      <c r="J72" s="25"/>
      <c r="Q72" s="10"/>
      <c r="V72"/>
    </row>
    <row r="73" spans="1:22" x14ac:dyDescent="0.2">
      <c r="H73" s="12"/>
      <c r="Q73" s="10"/>
      <c r="V73"/>
    </row>
    <row r="74" spans="1:22" x14ac:dyDescent="0.2">
      <c r="A74" s="20">
        <v>46078</v>
      </c>
      <c r="C74" s="12" t="s">
        <v>43</v>
      </c>
      <c r="D74" s="10">
        <v>6</v>
      </c>
      <c r="E74" s="10">
        <v>11</v>
      </c>
      <c r="F74" s="10">
        <v>1</v>
      </c>
      <c r="G74" s="10">
        <v>3</v>
      </c>
      <c r="H74" s="25">
        <f>SUM(D74:G74)</f>
        <v>21</v>
      </c>
      <c r="I74" s="10"/>
      <c r="J74" s="10"/>
      <c r="Q74" s="10"/>
      <c r="V74"/>
    </row>
    <row r="75" spans="1:22" x14ac:dyDescent="0.2">
      <c r="A75" s="10" t="s">
        <v>59</v>
      </c>
      <c r="C75" s="18" t="s">
        <v>99</v>
      </c>
      <c r="D75" s="10">
        <v>0</v>
      </c>
      <c r="E75" s="10">
        <v>1</v>
      </c>
      <c r="F75" s="10">
        <v>0</v>
      </c>
      <c r="G75" s="10">
        <v>0</v>
      </c>
      <c r="H75" s="25">
        <f>SUM(D75:G75)</f>
        <v>1</v>
      </c>
      <c r="I75" s="10"/>
      <c r="J75" s="10"/>
      <c r="Q75" s="10"/>
      <c r="V75"/>
    </row>
    <row r="76" spans="1:22" x14ac:dyDescent="0.2">
      <c r="B76" s="21" t="s">
        <v>49</v>
      </c>
      <c r="C76" s="12" t="s">
        <v>43</v>
      </c>
      <c r="D76" s="55">
        <v>0.55800000000000005</v>
      </c>
      <c r="E76" s="36">
        <v>0.67900000000000005</v>
      </c>
      <c r="F76" s="36">
        <v>0.64100000000000001</v>
      </c>
      <c r="G76" s="36">
        <v>0.59499999999999997</v>
      </c>
      <c r="H76" s="43">
        <v>0.61799999999999999</v>
      </c>
      <c r="I76" s="33"/>
      <c r="J76" s="27"/>
      <c r="Q76" s="10"/>
      <c r="V76"/>
    </row>
    <row r="77" spans="1:22" x14ac:dyDescent="0.2">
      <c r="B77" s="23"/>
      <c r="C77" s="18" t="s">
        <v>99</v>
      </c>
      <c r="D77" s="45">
        <v>0.442</v>
      </c>
      <c r="E77" s="45">
        <v>0.32100000000000001</v>
      </c>
      <c r="F77" s="45">
        <v>0.35899999999999999</v>
      </c>
      <c r="G77" s="45">
        <v>0.40500000000000003</v>
      </c>
      <c r="H77" s="44">
        <v>0.38200000000000001</v>
      </c>
      <c r="I77" s="34"/>
      <c r="J77" s="27"/>
      <c r="Q77" s="10"/>
      <c r="V77"/>
    </row>
    <row r="78" spans="1:22" x14ac:dyDescent="0.2">
      <c r="H78" s="12"/>
      <c r="Q78" s="10"/>
      <c r="V78"/>
    </row>
    <row r="79" spans="1:22" x14ac:dyDescent="0.2">
      <c r="A79" s="20">
        <v>46084</v>
      </c>
      <c r="C79" s="12" t="s">
        <v>43</v>
      </c>
      <c r="D79" s="10">
        <v>4</v>
      </c>
      <c r="E79" s="10">
        <v>4</v>
      </c>
      <c r="F79" s="10">
        <v>5</v>
      </c>
      <c r="G79" s="10">
        <v>4</v>
      </c>
      <c r="H79" s="25">
        <f>SUM(D79:G79)+K84+L84</f>
        <v>17</v>
      </c>
      <c r="I79" s="10"/>
      <c r="J79" s="10"/>
      <c r="Q79" s="10"/>
      <c r="V79"/>
    </row>
    <row r="80" spans="1:22" x14ac:dyDescent="0.2">
      <c r="A80" s="10" t="s">
        <v>59</v>
      </c>
      <c r="C80" s="12" t="s">
        <v>100</v>
      </c>
      <c r="D80" s="10">
        <v>1</v>
      </c>
      <c r="E80" s="10">
        <v>0</v>
      </c>
      <c r="F80" s="10">
        <v>2</v>
      </c>
      <c r="G80" s="10">
        <v>3</v>
      </c>
      <c r="H80" s="25">
        <f>SUM(D80:G80)+K85+L85</f>
        <v>6</v>
      </c>
      <c r="I80" s="10"/>
      <c r="J80" s="10"/>
      <c r="Q80" s="10"/>
      <c r="V80"/>
    </row>
    <row r="81" spans="1:22" x14ac:dyDescent="0.2">
      <c r="B81" s="21" t="s">
        <v>49</v>
      </c>
      <c r="C81" s="22" t="s">
        <v>43</v>
      </c>
      <c r="D81" s="36">
        <v>0.52800000000000002</v>
      </c>
      <c r="E81" s="36">
        <v>0.65900000000000003</v>
      </c>
      <c r="F81" s="36">
        <v>0.48299999999999998</v>
      </c>
      <c r="G81" s="36">
        <v>0.379</v>
      </c>
      <c r="H81" s="43">
        <v>0.51500000000000001</v>
      </c>
      <c r="I81" s="13"/>
      <c r="J81" s="10"/>
      <c r="Q81" s="10"/>
      <c r="V81"/>
    </row>
    <row r="82" spans="1:22" x14ac:dyDescent="0.2">
      <c r="B82" s="23"/>
      <c r="C82" s="18" t="s">
        <v>100</v>
      </c>
      <c r="D82" s="45">
        <v>0.47199999999999998</v>
      </c>
      <c r="E82" s="45">
        <v>0.34100000000000003</v>
      </c>
      <c r="F82" s="45">
        <v>0.51700000000000002</v>
      </c>
      <c r="G82" s="45">
        <v>0.621</v>
      </c>
      <c r="H82" s="44">
        <v>0.48499999999999999</v>
      </c>
      <c r="I82" s="15"/>
      <c r="J82" s="10"/>
      <c r="Q82" s="10"/>
      <c r="V82"/>
    </row>
    <row r="83" spans="1:22" x14ac:dyDescent="0.2">
      <c r="H83" s="12"/>
      <c r="K83" s="10"/>
      <c r="L83" s="10"/>
      <c r="Q83" s="10"/>
      <c r="V83"/>
    </row>
    <row r="84" spans="1:22" x14ac:dyDescent="0.2">
      <c r="A84" s="20">
        <v>46087</v>
      </c>
      <c r="C84" s="12" t="s">
        <v>43</v>
      </c>
      <c r="D84" s="10">
        <v>5</v>
      </c>
      <c r="E84" s="10">
        <v>3</v>
      </c>
      <c r="F84" s="10">
        <v>5</v>
      </c>
      <c r="G84" s="10">
        <v>3</v>
      </c>
      <c r="H84" s="25">
        <f>SUM(D84:G84)</f>
        <v>16</v>
      </c>
      <c r="I84" s="10"/>
      <c r="J84" s="10"/>
      <c r="K84" s="10"/>
      <c r="L84" s="10"/>
      <c r="Q84" s="10"/>
      <c r="V84"/>
    </row>
    <row r="85" spans="1:22" x14ac:dyDescent="0.2">
      <c r="A85" s="10" t="s">
        <v>59</v>
      </c>
      <c r="C85" s="12" t="s">
        <v>101</v>
      </c>
      <c r="D85" s="10">
        <v>6</v>
      </c>
      <c r="E85" s="10">
        <v>2</v>
      </c>
      <c r="F85" s="10">
        <v>1</v>
      </c>
      <c r="G85" s="10">
        <v>6</v>
      </c>
      <c r="H85" s="25">
        <f>SUM(D85:G85)</f>
        <v>15</v>
      </c>
      <c r="I85" s="10"/>
      <c r="J85" s="10"/>
      <c r="K85" s="10"/>
      <c r="L85" s="10"/>
      <c r="Q85" s="10"/>
      <c r="V85"/>
    </row>
    <row r="86" spans="1:22" x14ac:dyDescent="0.2">
      <c r="B86" s="21" t="s">
        <v>49</v>
      </c>
      <c r="C86" s="22" t="s">
        <v>43</v>
      </c>
      <c r="D86" s="36">
        <v>0.41899999999999998</v>
      </c>
      <c r="E86" s="36">
        <v>0.42199999999999999</v>
      </c>
      <c r="F86" s="36">
        <v>0.745</v>
      </c>
      <c r="G86" s="36">
        <v>0.45</v>
      </c>
      <c r="H86" s="43">
        <v>0.501</v>
      </c>
      <c r="I86" s="13"/>
      <c r="J86" s="10"/>
      <c r="K86" s="10"/>
      <c r="L86" s="10"/>
      <c r="Q86" s="10"/>
      <c r="V86"/>
    </row>
    <row r="87" spans="1:22" x14ac:dyDescent="0.2">
      <c r="B87" s="23"/>
      <c r="C87" s="18" t="s">
        <v>101</v>
      </c>
      <c r="D87" s="45">
        <v>0.58099999999999996</v>
      </c>
      <c r="E87" s="45">
        <v>0.57799999999999996</v>
      </c>
      <c r="F87" s="45">
        <v>0.255</v>
      </c>
      <c r="G87" s="45">
        <v>0.55000000000000004</v>
      </c>
      <c r="H87" s="44">
        <v>0.499</v>
      </c>
      <c r="I87" s="34"/>
      <c r="J87" s="27"/>
      <c r="K87" s="10"/>
      <c r="L87" s="10"/>
      <c r="Q87" s="10"/>
      <c r="V87"/>
    </row>
    <row r="88" spans="1:22" x14ac:dyDescent="0.2">
      <c r="I88" s="10" t="s">
        <v>88</v>
      </c>
      <c r="J88" s="10"/>
      <c r="Q88" s="10"/>
      <c r="V88"/>
    </row>
    <row r="89" spans="1:22" x14ac:dyDescent="0.2">
      <c r="A89" s="20">
        <v>46091</v>
      </c>
      <c r="C89" s="12" t="s">
        <v>43</v>
      </c>
      <c r="D89" s="10">
        <v>4</v>
      </c>
      <c r="E89" s="10">
        <v>4</v>
      </c>
      <c r="F89" s="10">
        <v>4</v>
      </c>
      <c r="G89" s="10">
        <v>3</v>
      </c>
      <c r="H89" s="25">
        <f>SUM(D89:G89)+I89</f>
        <v>16</v>
      </c>
      <c r="I89" s="10">
        <v>1</v>
      </c>
      <c r="J89" s="10"/>
      <c r="Q89" s="10"/>
      <c r="V89"/>
    </row>
    <row r="90" spans="1:22" x14ac:dyDescent="0.2">
      <c r="A90" s="10" t="s">
        <v>58</v>
      </c>
      <c r="C90" s="12" t="s">
        <v>102</v>
      </c>
      <c r="D90" s="10">
        <v>2</v>
      </c>
      <c r="E90" s="10">
        <v>3</v>
      </c>
      <c r="F90" s="10">
        <v>4</v>
      </c>
      <c r="G90" s="10">
        <v>6</v>
      </c>
      <c r="H90" s="25">
        <f>SUM(D90:G90)</f>
        <v>15</v>
      </c>
      <c r="I90" s="10"/>
      <c r="J90" s="10"/>
      <c r="Q90" s="10"/>
      <c r="V90"/>
    </row>
    <row r="91" spans="1:22" x14ac:dyDescent="0.2">
      <c r="B91" s="21" t="s">
        <v>49</v>
      </c>
      <c r="C91" s="22" t="s">
        <v>43</v>
      </c>
      <c r="D91" s="36">
        <v>0.47299999999999998</v>
      </c>
      <c r="E91" s="36">
        <v>0.46300000000000002</v>
      </c>
      <c r="F91" s="36">
        <v>0.45500000000000002</v>
      </c>
      <c r="G91" s="36">
        <v>0.45700000000000002</v>
      </c>
      <c r="H91" s="43">
        <v>0.46600000000000003</v>
      </c>
      <c r="I91" s="36">
        <v>0.53</v>
      </c>
      <c r="J91" s="68"/>
      <c r="Q91" s="10"/>
      <c r="V91"/>
    </row>
    <row r="92" spans="1:22" x14ac:dyDescent="0.2">
      <c r="B92" s="23"/>
      <c r="C92" s="18" t="s">
        <v>102</v>
      </c>
      <c r="D92" s="45">
        <v>0.52700000000000002</v>
      </c>
      <c r="E92" s="45">
        <v>0.53700000000000003</v>
      </c>
      <c r="F92" s="45">
        <v>0.54500000000000004</v>
      </c>
      <c r="G92" s="45">
        <v>0.54300000000000004</v>
      </c>
      <c r="H92" s="44">
        <v>0.53400000000000003</v>
      </c>
      <c r="I92" s="45">
        <v>0.47</v>
      </c>
      <c r="J92" s="68"/>
      <c r="Q92" s="10"/>
      <c r="V92"/>
    </row>
    <row r="93" spans="1:22" x14ac:dyDescent="0.2">
      <c r="H93" s="12"/>
      <c r="Q93" s="10"/>
      <c r="V93"/>
    </row>
    <row r="94" spans="1:22" x14ac:dyDescent="0.2">
      <c r="A94" s="20">
        <v>46092</v>
      </c>
      <c r="C94" s="12" t="s">
        <v>43</v>
      </c>
      <c r="D94" s="10">
        <v>8</v>
      </c>
      <c r="E94" s="10">
        <v>5</v>
      </c>
      <c r="F94" s="10">
        <v>4</v>
      </c>
      <c r="G94" s="10">
        <v>2</v>
      </c>
      <c r="H94" s="25">
        <f>SUM(D94:G94)</f>
        <v>19</v>
      </c>
      <c r="I94" s="10"/>
      <c r="J94" s="10"/>
      <c r="Q94" s="10"/>
      <c r="V94"/>
    </row>
    <row r="95" spans="1:22" x14ac:dyDescent="0.2">
      <c r="A95" s="10" t="s">
        <v>58</v>
      </c>
      <c r="C95" s="18" t="s">
        <v>103</v>
      </c>
      <c r="D95" s="10">
        <v>1</v>
      </c>
      <c r="E95" s="10">
        <v>2</v>
      </c>
      <c r="F95" s="10">
        <v>0</v>
      </c>
      <c r="G95" s="10">
        <v>0</v>
      </c>
      <c r="H95" s="25">
        <f>SUM(D95:G95)</f>
        <v>3</v>
      </c>
      <c r="I95" s="10"/>
      <c r="J95" s="10"/>
      <c r="Q95" s="10"/>
      <c r="V95"/>
    </row>
    <row r="96" spans="1:22" x14ac:dyDescent="0.2">
      <c r="B96" s="21" t="s">
        <v>49</v>
      </c>
      <c r="C96" s="12" t="s">
        <v>43</v>
      </c>
      <c r="D96" s="36">
        <v>0.73399999999999999</v>
      </c>
      <c r="E96" s="36">
        <v>0.68799999999999994</v>
      </c>
      <c r="F96" s="36">
        <v>0.64</v>
      </c>
      <c r="G96" s="36">
        <v>0.53800000000000003</v>
      </c>
      <c r="H96" s="43">
        <v>0.65900000000000003</v>
      </c>
      <c r="I96" s="33"/>
      <c r="J96" s="27"/>
      <c r="Q96" s="10"/>
      <c r="V96"/>
    </row>
    <row r="97" spans="1:22" x14ac:dyDescent="0.2">
      <c r="B97" s="23"/>
      <c r="C97" s="18" t="s">
        <v>103</v>
      </c>
      <c r="D97" s="45">
        <v>0.26600000000000001</v>
      </c>
      <c r="E97" s="45">
        <v>0.312</v>
      </c>
      <c r="F97" s="45">
        <v>0.36</v>
      </c>
      <c r="G97" s="45">
        <v>0.46200000000000002</v>
      </c>
      <c r="H97" s="44">
        <v>0.34100000000000003</v>
      </c>
      <c r="I97" s="34"/>
      <c r="J97" s="27"/>
      <c r="K97" s="10"/>
      <c r="L97" s="10"/>
      <c r="Q97" s="10"/>
      <c r="V97"/>
    </row>
    <row r="98" spans="1:22" x14ac:dyDescent="0.2">
      <c r="K98" s="10"/>
      <c r="L98" s="10"/>
      <c r="Q98" s="10"/>
      <c r="V98"/>
    </row>
    <row r="99" spans="1:22" x14ac:dyDescent="0.2">
      <c r="A99" s="20">
        <v>46099</v>
      </c>
      <c r="C99" s="12" t="s">
        <v>43</v>
      </c>
      <c r="D99" s="10">
        <v>4</v>
      </c>
      <c r="E99" s="10">
        <v>6</v>
      </c>
      <c r="F99" s="10">
        <v>2</v>
      </c>
      <c r="G99" s="10">
        <v>4</v>
      </c>
      <c r="H99" s="25">
        <f>SUM(D99:G99)</f>
        <v>16</v>
      </c>
      <c r="I99" s="10"/>
      <c r="J99" s="10"/>
      <c r="K99" s="10"/>
      <c r="L99" s="10"/>
      <c r="Q99" s="10"/>
      <c r="V99"/>
    </row>
    <row r="100" spans="1:22" x14ac:dyDescent="0.2">
      <c r="A100" s="10" t="s">
        <v>58</v>
      </c>
      <c r="C100" s="18" t="s">
        <v>105</v>
      </c>
      <c r="D100" s="10">
        <v>1</v>
      </c>
      <c r="E100" s="10">
        <v>2</v>
      </c>
      <c r="F100" s="10">
        <v>0</v>
      </c>
      <c r="G100" s="10">
        <v>1</v>
      </c>
      <c r="H100" s="25">
        <f>SUM(D100:G100)</f>
        <v>4</v>
      </c>
      <c r="I100" s="10"/>
      <c r="J100" s="10"/>
      <c r="K100" s="10"/>
      <c r="L100" s="10"/>
      <c r="Q100" s="10"/>
      <c r="V100"/>
    </row>
    <row r="101" spans="1:22" x14ac:dyDescent="0.2">
      <c r="B101" s="21" t="s">
        <v>49</v>
      </c>
      <c r="C101" s="12" t="s">
        <v>43</v>
      </c>
      <c r="D101" s="36">
        <v>0.56599999999999995</v>
      </c>
      <c r="E101" s="36">
        <v>0.55200000000000005</v>
      </c>
      <c r="F101" s="36">
        <v>0.58599999999999997</v>
      </c>
      <c r="G101" s="36">
        <v>0.62</v>
      </c>
      <c r="H101" s="43">
        <v>0.58099999999999996</v>
      </c>
      <c r="I101" s="33"/>
      <c r="J101" s="27"/>
      <c r="K101" s="10"/>
      <c r="L101" s="10"/>
      <c r="Q101" s="10"/>
      <c r="V101"/>
    </row>
    <row r="102" spans="1:22" x14ac:dyDescent="0.2">
      <c r="B102" s="23"/>
      <c r="C102" s="18" t="s">
        <v>105</v>
      </c>
      <c r="D102" s="45">
        <v>0.434</v>
      </c>
      <c r="E102" s="45">
        <v>0.44800000000000001</v>
      </c>
      <c r="F102" s="45">
        <v>0.41399999999999998</v>
      </c>
      <c r="G102" s="45">
        <v>0.38</v>
      </c>
      <c r="H102" s="44">
        <v>0.41899999999999998</v>
      </c>
      <c r="I102" s="34"/>
      <c r="J102" s="27"/>
      <c r="K102" s="10"/>
      <c r="Q102" s="10"/>
      <c r="V102"/>
    </row>
    <row r="103" spans="1:22" x14ac:dyDescent="0.2">
      <c r="H103" s="12"/>
      <c r="K103" s="10"/>
      <c r="Q103" s="10"/>
      <c r="V103"/>
    </row>
    <row r="104" spans="1:22" x14ac:dyDescent="0.2">
      <c r="A104" s="20">
        <v>46101</v>
      </c>
      <c r="C104" s="12" t="s">
        <v>43</v>
      </c>
      <c r="D104" s="10">
        <v>4</v>
      </c>
      <c r="E104" s="10">
        <v>5</v>
      </c>
      <c r="F104" s="10">
        <v>3</v>
      </c>
      <c r="G104" s="10">
        <v>3</v>
      </c>
      <c r="H104" s="25">
        <f>SUM(D104:G104)</f>
        <v>15</v>
      </c>
      <c r="I104" s="10"/>
      <c r="J104" s="10"/>
      <c r="Q104" s="10"/>
      <c r="V104"/>
    </row>
    <row r="105" spans="1:22" x14ac:dyDescent="0.2">
      <c r="A105" s="10" t="s">
        <v>59</v>
      </c>
      <c r="C105" s="18" t="s">
        <v>104</v>
      </c>
      <c r="D105" s="10">
        <v>2</v>
      </c>
      <c r="E105" s="10">
        <v>3</v>
      </c>
      <c r="F105" s="10">
        <v>3</v>
      </c>
      <c r="G105" s="10">
        <v>1</v>
      </c>
      <c r="H105" s="25">
        <f>SUM(D105:G105)+K109</f>
        <v>9</v>
      </c>
      <c r="I105" s="10"/>
      <c r="J105" s="10"/>
      <c r="Q105" s="10"/>
      <c r="V105"/>
    </row>
    <row r="106" spans="1:22" x14ac:dyDescent="0.2">
      <c r="B106" s="21" t="s">
        <v>49</v>
      </c>
      <c r="C106" s="12" t="s">
        <v>43</v>
      </c>
      <c r="D106" s="36">
        <v>0.51</v>
      </c>
      <c r="E106" s="36">
        <v>0.434</v>
      </c>
      <c r="F106" s="36">
        <v>0.46100000000000002</v>
      </c>
      <c r="G106" s="36">
        <v>0.7</v>
      </c>
      <c r="H106" s="43">
        <v>0.52200000000000002</v>
      </c>
      <c r="I106" s="33"/>
      <c r="J106" s="27"/>
      <c r="Q106" s="10"/>
      <c r="V106"/>
    </row>
    <row r="107" spans="1:22" x14ac:dyDescent="0.2">
      <c r="B107" s="23"/>
      <c r="C107" s="18" t="s">
        <v>104</v>
      </c>
      <c r="D107" s="45">
        <v>0.49</v>
      </c>
      <c r="E107" s="45">
        <v>0.56599999999999995</v>
      </c>
      <c r="F107" s="45">
        <v>0.53900000000000003</v>
      </c>
      <c r="G107" s="45">
        <v>0.3</v>
      </c>
      <c r="H107" s="44">
        <v>0.47799999999999998</v>
      </c>
      <c r="I107" s="34"/>
      <c r="J107" s="27"/>
      <c r="Q107" s="10"/>
      <c r="V107"/>
    </row>
    <row r="108" spans="1:22" x14ac:dyDescent="0.2">
      <c r="H108" s="12"/>
      <c r="Q108" s="10"/>
      <c r="V108"/>
    </row>
    <row r="109" spans="1:22" x14ac:dyDescent="0.2">
      <c r="A109" s="20">
        <v>46104</v>
      </c>
      <c r="C109" s="12" t="s">
        <v>43</v>
      </c>
      <c r="D109" s="10">
        <v>3</v>
      </c>
      <c r="E109" s="10">
        <v>8</v>
      </c>
      <c r="F109" s="10">
        <v>6</v>
      </c>
      <c r="G109" s="10">
        <v>2</v>
      </c>
      <c r="H109" s="25">
        <f>SUM(D109:G109)</f>
        <v>19</v>
      </c>
      <c r="I109" s="10"/>
      <c r="J109" s="10"/>
      <c r="Q109" s="10"/>
      <c r="V109"/>
    </row>
    <row r="110" spans="1:22" x14ac:dyDescent="0.2">
      <c r="A110" s="10" t="s">
        <v>59</v>
      </c>
      <c r="C110" s="12" t="s">
        <v>106</v>
      </c>
      <c r="D110" s="15">
        <v>2</v>
      </c>
      <c r="E110" s="10">
        <v>1</v>
      </c>
      <c r="F110" s="10">
        <v>2</v>
      </c>
      <c r="G110" s="10">
        <v>1</v>
      </c>
      <c r="H110" s="25">
        <f>SUM(D110:G110)</f>
        <v>6</v>
      </c>
      <c r="I110" s="10"/>
      <c r="J110" s="10"/>
      <c r="Q110" s="10"/>
      <c r="V110"/>
    </row>
    <row r="111" spans="1:22" x14ac:dyDescent="0.2">
      <c r="B111" s="21" t="s">
        <v>49</v>
      </c>
      <c r="C111" s="22" t="s">
        <v>43</v>
      </c>
      <c r="D111" s="35">
        <v>0.54800000000000004</v>
      </c>
      <c r="E111" s="36">
        <v>0.68600000000000005</v>
      </c>
      <c r="F111" s="36">
        <v>0.67100000000000004</v>
      </c>
      <c r="G111" s="36">
        <v>0.53800000000000003</v>
      </c>
      <c r="H111" s="43">
        <v>0.61799999999999999</v>
      </c>
      <c r="I111" s="33"/>
      <c r="J111" s="27"/>
      <c r="Q111" s="10"/>
      <c r="V111"/>
    </row>
    <row r="112" spans="1:22" x14ac:dyDescent="0.2">
      <c r="B112" s="23"/>
      <c r="C112" s="18" t="s">
        <v>106</v>
      </c>
      <c r="D112" s="52">
        <v>0.45200000000000001</v>
      </c>
      <c r="E112" s="45">
        <v>0.314</v>
      </c>
      <c r="F112" s="45">
        <v>0.32900000000000001</v>
      </c>
      <c r="G112" s="45">
        <v>0.46200000000000002</v>
      </c>
      <c r="H112" s="44">
        <v>0.38200000000000001</v>
      </c>
      <c r="I112" s="34"/>
      <c r="J112" s="27"/>
      <c r="K112" s="25"/>
      <c r="Q112" s="10"/>
      <c r="V112"/>
    </row>
    <row r="113" spans="1:22" x14ac:dyDescent="0.2">
      <c r="H113" s="12"/>
      <c r="K113" s="10"/>
      <c r="Q113" s="10"/>
      <c r="V113"/>
    </row>
    <row r="114" spans="1:22" x14ac:dyDescent="0.2">
      <c r="A114" s="20">
        <v>46106</v>
      </c>
      <c r="C114" s="12" t="s">
        <v>43</v>
      </c>
      <c r="D114" s="10">
        <v>6</v>
      </c>
      <c r="E114" s="10">
        <v>2</v>
      </c>
      <c r="F114" s="10">
        <v>4</v>
      </c>
      <c r="G114" s="10">
        <v>2</v>
      </c>
      <c r="H114" s="25">
        <f>SUM(D114:G114)</f>
        <v>14</v>
      </c>
      <c r="I114" s="10"/>
      <c r="J114" s="10"/>
      <c r="Q114" s="10"/>
      <c r="V114"/>
    </row>
    <row r="115" spans="1:22" x14ac:dyDescent="0.2">
      <c r="A115" s="10" t="s">
        <v>58</v>
      </c>
      <c r="C115" s="12" t="s">
        <v>107</v>
      </c>
      <c r="D115" s="10">
        <v>0</v>
      </c>
      <c r="E115" s="10">
        <v>3</v>
      </c>
      <c r="F115" s="10">
        <v>0</v>
      </c>
      <c r="G115" s="10">
        <v>1</v>
      </c>
      <c r="H115" s="25">
        <f>SUM(D115:G115)</f>
        <v>4</v>
      </c>
      <c r="I115" s="10"/>
      <c r="J115" s="10"/>
      <c r="Q115" s="10"/>
      <c r="V115"/>
    </row>
    <row r="116" spans="1:22" x14ac:dyDescent="0.2">
      <c r="B116" s="21" t="s">
        <v>49</v>
      </c>
      <c r="C116" s="22" t="s">
        <v>43</v>
      </c>
      <c r="D116" s="36">
        <v>0.52900000000000003</v>
      </c>
      <c r="E116" s="36">
        <v>0.46400000000000002</v>
      </c>
      <c r="F116" s="36">
        <v>0.38200000000000001</v>
      </c>
      <c r="G116" s="36">
        <v>0.48099999999999998</v>
      </c>
      <c r="H116" s="43">
        <v>0.46500000000000002</v>
      </c>
      <c r="I116" s="13"/>
      <c r="J116" s="10"/>
      <c r="Q116" s="10"/>
      <c r="V116"/>
    </row>
    <row r="117" spans="1:22" x14ac:dyDescent="0.2">
      <c r="B117" s="23"/>
      <c r="C117" s="18" t="s">
        <v>107</v>
      </c>
      <c r="D117" s="45">
        <v>0.47099999999999997</v>
      </c>
      <c r="E117" s="45">
        <v>0.53600000000000003</v>
      </c>
      <c r="F117" s="45">
        <v>0.61799999999999999</v>
      </c>
      <c r="G117" s="45">
        <v>0.51900000000000002</v>
      </c>
      <c r="H117" s="44">
        <v>0.53500000000000003</v>
      </c>
      <c r="I117" s="15"/>
      <c r="J117" s="10"/>
      <c r="Q117" s="10"/>
      <c r="V117"/>
    </row>
    <row r="118" spans="1:22" x14ac:dyDescent="0.2">
      <c r="H118" s="12"/>
      <c r="Q118" s="10"/>
      <c r="V118"/>
    </row>
    <row r="119" spans="1:22" x14ac:dyDescent="0.2">
      <c r="A119" s="20">
        <v>46119</v>
      </c>
      <c r="C119" s="12" t="s">
        <v>43</v>
      </c>
      <c r="D119" s="10">
        <v>10</v>
      </c>
      <c r="E119" s="10">
        <v>8</v>
      </c>
      <c r="F119" s="10">
        <v>4</v>
      </c>
      <c r="G119" s="10">
        <v>2</v>
      </c>
      <c r="H119" s="25">
        <f>SUM(D119:G119)</f>
        <v>24</v>
      </c>
      <c r="I119" s="10"/>
      <c r="J119" s="10"/>
      <c r="Q119" s="10"/>
      <c r="V119"/>
    </row>
    <row r="120" spans="1:22" x14ac:dyDescent="0.2">
      <c r="A120" s="10" t="s">
        <v>59</v>
      </c>
      <c r="C120" s="12" t="s">
        <v>121</v>
      </c>
      <c r="D120" s="10">
        <v>0</v>
      </c>
      <c r="E120" s="10">
        <v>2</v>
      </c>
      <c r="F120" s="10">
        <v>0</v>
      </c>
      <c r="G120" s="10">
        <v>2</v>
      </c>
      <c r="H120" s="25">
        <f>SUM(D120:G120)</f>
        <v>4</v>
      </c>
      <c r="I120" s="10"/>
      <c r="J120" s="10"/>
      <c r="Q120" s="10"/>
      <c r="V120"/>
    </row>
    <row r="121" spans="1:22" x14ac:dyDescent="0.2">
      <c r="B121" s="21" t="s">
        <v>49</v>
      </c>
      <c r="C121" s="22" t="s">
        <v>43</v>
      </c>
      <c r="D121" s="36">
        <v>0.66400000000000003</v>
      </c>
      <c r="E121" s="36">
        <v>0.77700000000000002</v>
      </c>
      <c r="F121" s="36">
        <v>0.61599999999999999</v>
      </c>
      <c r="G121" s="36">
        <v>0.42199999999999999</v>
      </c>
      <c r="H121" s="43">
        <v>0.63700000000000001</v>
      </c>
      <c r="I121" s="33"/>
      <c r="J121" s="27"/>
      <c r="Q121" s="10"/>
      <c r="V121"/>
    </row>
    <row r="122" spans="1:22" x14ac:dyDescent="0.2">
      <c r="B122" s="23"/>
      <c r="C122" s="18" t="s">
        <v>121</v>
      </c>
      <c r="D122" s="45">
        <v>0.33600000000000002</v>
      </c>
      <c r="E122" s="45">
        <v>0.223</v>
      </c>
      <c r="F122" s="45">
        <v>0.38400000000000001</v>
      </c>
      <c r="G122" s="45">
        <v>0.57799999999999996</v>
      </c>
      <c r="H122" s="44">
        <v>0.36299999999999999</v>
      </c>
      <c r="I122" s="34"/>
      <c r="J122" s="27"/>
      <c r="Q122" s="10"/>
      <c r="V122"/>
    </row>
    <row r="123" spans="1:22" x14ac:dyDescent="0.2">
      <c r="H123" s="12"/>
      <c r="Q123" s="10"/>
      <c r="V123"/>
    </row>
    <row r="124" spans="1:22" x14ac:dyDescent="0.2">
      <c r="A124" s="20">
        <v>46120</v>
      </c>
      <c r="C124" s="12" t="s">
        <v>43</v>
      </c>
      <c r="D124" s="10">
        <v>4</v>
      </c>
      <c r="E124" s="10">
        <v>6</v>
      </c>
      <c r="F124" s="10">
        <v>3</v>
      </c>
      <c r="G124" s="10">
        <v>2</v>
      </c>
      <c r="H124" s="25">
        <f>SUM(D124:G124)</f>
        <v>15</v>
      </c>
      <c r="I124" s="10"/>
      <c r="J124" s="10"/>
      <c r="Q124" s="10"/>
      <c r="V124"/>
    </row>
    <row r="125" spans="1:22" x14ac:dyDescent="0.2">
      <c r="A125" s="10" t="s">
        <v>58</v>
      </c>
      <c r="C125" s="12" t="s">
        <v>122</v>
      </c>
      <c r="D125" s="10">
        <v>1</v>
      </c>
      <c r="E125" s="10">
        <v>0</v>
      </c>
      <c r="F125" s="10">
        <v>2</v>
      </c>
      <c r="G125" s="10">
        <v>3</v>
      </c>
      <c r="H125" s="25">
        <f>SUM(D125:G125)</f>
        <v>6</v>
      </c>
      <c r="I125" s="10"/>
      <c r="J125" s="10"/>
      <c r="Q125" s="10"/>
      <c r="V125"/>
    </row>
    <row r="126" spans="1:22" x14ac:dyDescent="0.2">
      <c r="B126" s="21" t="s">
        <v>49</v>
      </c>
      <c r="C126" s="22" t="s">
        <v>43</v>
      </c>
      <c r="D126" s="36">
        <v>0.432</v>
      </c>
      <c r="E126" s="36">
        <v>0.69699999999999995</v>
      </c>
      <c r="F126" s="36">
        <v>0.502</v>
      </c>
      <c r="G126" s="36">
        <v>0.48599999999999999</v>
      </c>
      <c r="H126" s="43">
        <v>0.53100000000000003</v>
      </c>
      <c r="I126" s="33"/>
      <c r="J126" s="27"/>
      <c r="Q126" s="10"/>
      <c r="V126"/>
    </row>
    <row r="127" spans="1:22" x14ac:dyDescent="0.2">
      <c r="B127" s="23"/>
      <c r="C127" s="18" t="s">
        <v>122</v>
      </c>
      <c r="D127" s="45">
        <v>0.56799999999999995</v>
      </c>
      <c r="E127" s="45">
        <v>0.30299999999999999</v>
      </c>
      <c r="F127" s="45">
        <v>0.498</v>
      </c>
      <c r="G127" s="45">
        <v>0.51400000000000001</v>
      </c>
      <c r="H127" s="44">
        <v>0.46899999999999997</v>
      </c>
      <c r="I127" s="34"/>
      <c r="J127" s="27"/>
      <c r="Q127" s="10"/>
      <c r="V127"/>
    </row>
    <row r="128" spans="1:22" x14ac:dyDescent="0.2">
      <c r="I128" s="10" t="s">
        <v>88</v>
      </c>
      <c r="J128" s="10"/>
      <c r="Q128" s="10"/>
      <c r="V128"/>
    </row>
    <row r="129" spans="1:22" x14ac:dyDescent="0.2">
      <c r="A129" s="20">
        <v>45757</v>
      </c>
      <c r="C129" s="12" t="s">
        <v>43</v>
      </c>
      <c r="D129" s="10">
        <v>3</v>
      </c>
      <c r="E129" s="10">
        <v>2</v>
      </c>
      <c r="F129" s="10">
        <v>4</v>
      </c>
      <c r="G129" s="10">
        <v>1</v>
      </c>
      <c r="H129" s="25">
        <f>SUM(D129:G129)</f>
        <v>10</v>
      </c>
      <c r="I129" s="10"/>
      <c r="J129" s="10"/>
      <c r="Q129" s="10"/>
      <c r="V129"/>
    </row>
    <row r="130" spans="1:22" x14ac:dyDescent="0.2">
      <c r="A130" s="10" t="s">
        <v>58</v>
      </c>
      <c r="C130" s="12" t="s">
        <v>123</v>
      </c>
      <c r="D130" s="10">
        <v>2</v>
      </c>
      <c r="E130" s="10">
        <v>3</v>
      </c>
      <c r="F130" s="10">
        <v>5</v>
      </c>
      <c r="G130" s="10">
        <v>0</v>
      </c>
      <c r="H130" s="25">
        <f>SUM(D130:G130)+I130</f>
        <v>11</v>
      </c>
      <c r="I130" s="15">
        <v>1</v>
      </c>
      <c r="J130" s="10"/>
      <c r="Q130" s="10"/>
      <c r="V130"/>
    </row>
    <row r="131" spans="1:22" x14ac:dyDescent="0.2">
      <c r="B131" s="21" t="s">
        <v>49</v>
      </c>
      <c r="C131" s="22" t="s">
        <v>43</v>
      </c>
      <c r="D131" s="36">
        <v>0.621</v>
      </c>
      <c r="E131" s="36">
        <v>0.60899999999999999</v>
      </c>
      <c r="F131" s="36">
        <v>0.55000000000000004</v>
      </c>
      <c r="G131" s="36">
        <v>0.53300000000000003</v>
      </c>
      <c r="H131" s="43">
        <v>0.55800000000000005</v>
      </c>
      <c r="I131" s="26">
        <v>0.246</v>
      </c>
      <c r="J131" s="26"/>
      <c r="Q131" s="10"/>
      <c r="V131"/>
    </row>
    <row r="132" spans="1:22" x14ac:dyDescent="0.2">
      <c r="B132" s="23"/>
      <c r="C132" s="18" t="s">
        <v>123</v>
      </c>
      <c r="D132" s="45">
        <v>0.379</v>
      </c>
      <c r="E132" s="45">
        <v>0.39100000000000001</v>
      </c>
      <c r="F132" s="45">
        <v>0.45</v>
      </c>
      <c r="G132" s="45">
        <v>0.46700000000000003</v>
      </c>
      <c r="H132" s="44">
        <v>0.442</v>
      </c>
      <c r="I132" s="45">
        <v>0.754</v>
      </c>
      <c r="J132" s="68"/>
      <c r="Q132" s="10"/>
      <c r="V132"/>
    </row>
    <row r="133" spans="1:22" x14ac:dyDescent="0.2">
      <c r="F133" s="30"/>
      <c r="H133" s="12"/>
      <c r="I133" s="30"/>
      <c r="J133" s="30"/>
      <c r="Q133" s="10"/>
      <c r="V133"/>
    </row>
    <row r="134" spans="1:22" x14ac:dyDescent="0.2">
      <c r="A134" s="20">
        <v>46125</v>
      </c>
      <c r="C134" s="12" t="s">
        <v>43</v>
      </c>
      <c r="D134" s="10">
        <v>5</v>
      </c>
      <c r="E134" s="10">
        <v>5</v>
      </c>
      <c r="F134" s="10">
        <v>3</v>
      </c>
      <c r="G134" s="10">
        <v>3</v>
      </c>
      <c r="H134" s="25">
        <f>SUM(D134:G134)</f>
        <v>16</v>
      </c>
      <c r="I134" s="10"/>
      <c r="J134" s="10"/>
      <c r="Q134" s="10"/>
      <c r="V134"/>
    </row>
    <row r="135" spans="1:22" x14ac:dyDescent="0.2">
      <c r="A135" s="10" t="s">
        <v>59</v>
      </c>
      <c r="C135" s="12" t="s">
        <v>124</v>
      </c>
      <c r="D135" s="10">
        <v>3</v>
      </c>
      <c r="E135" s="10">
        <v>3</v>
      </c>
      <c r="F135" s="10">
        <v>1</v>
      </c>
      <c r="G135" s="10">
        <v>3</v>
      </c>
      <c r="H135" s="25">
        <f>SUM(D135:G135)</f>
        <v>10</v>
      </c>
      <c r="I135" s="10"/>
      <c r="J135" s="10"/>
      <c r="Q135" s="10"/>
      <c r="V135"/>
    </row>
    <row r="136" spans="1:22" x14ac:dyDescent="0.2">
      <c r="B136" s="21" t="s">
        <v>49</v>
      </c>
      <c r="C136" s="22" t="s">
        <v>43</v>
      </c>
      <c r="D136" s="36">
        <v>0.55100000000000005</v>
      </c>
      <c r="E136" s="36">
        <v>0.53100000000000003</v>
      </c>
      <c r="F136" s="36">
        <v>0.58799999999999997</v>
      </c>
      <c r="G136" s="36">
        <v>0.68500000000000005</v>
      </c>
      <c r="H136" s="43">
        <v>0.58599999999999997</v>
      </c>
      <c r="I136" s="13"/>
      <c r="J136" s="10"/>
      <c r="Q136" s="10"/>
      <c r="V136"/>
    </row>
    <row r="137" spans="1:22" x14ac:dyDescent="0.2">
      <c r="B137" s="23"/>
      <c r="C137" s="18" t="s">
        <v>124</v>
      </c>
      <c r="D137" s="45">
        <v>0.44900000000000001</v>
      </c>
      <c r="E137" s="45">
        <v>0.46899999999999997</v>
      </c>
      <c r="F137" s="45" t="s">
        <v>128</v>
      </c>
      <c r="G137" s="45">
        <v>0.315</v>
      </c>
      <c r="H137" s="44">
        <v>0.41399999999999998</v>
      </c>
      <c r="I137" s="15"/>
      <c r="J137" s="10"/>
      <c r="Q137" s="10"/>
      <c r="V137"/>
    </row>
    <row r="138" spans="1:22" x14ac:dyDescent="0.2">
      <c r="C138" s="12"/>
      <c r="D138" s="10"/>
      <c r="E138" s="10"/>
      <c r="F138" s="10"/>
      <c r="G138" s="10"/>
      <c r="H138" s="48"/>
      <c r="I138" s="10"/>
      <c r="J138" s="10"/>
      <c r="Q138" s="10"/>
      <c r="V138"/>
    </row>
    <row r="139" spans="1:22" x14ac:dyDescent="0.2">
      <c r="A139" s="20">
        <v>46127</v>
      </c>
      <c r="C139" s="12" t="s">
        <v>43</v>
      </c>
      <c r="D139" s="10">
        <v>2</v>
      </c>
      <c r="E139" s="10">
        <v>1</v>
      </c>
      <c r="F139" s="10">
        <v>1</v>
      </c>
      <c r="G139" s="10">
        <v>0</v>
      </c>
      <c r="H139" s="25">
        <f>SUM(D139:G139)</f>
        <v>4</v>
      </c>
      <c r="I139" s="10"/>
      <c r="J139" s="10"/>
      <c r="Q139" s="10"/>
      <c r="V139"/>
    </row>
    <row r="140" spans="1:22" x14ac:dyDescent="0.2">
      <c r="A140" s="10" t="s">
        <v>58</v>
      </c>
      <c r="C140" s="12" t="s">
        <v>125</v>
      </c>
      <c r="D140" s="10">
        <v>3</v>
      </c>
      <c r="E140" s="10">
        <v>2</v>
      </c>
      <c r="F140" s="10">
        <v>1</v>
      </c>
      <c r="G140" s="10">
        <v>7</v>
      </c>
      <c r="H140" s="25">
        <f>SUM(D140:G140)</f>
        <v>13</v>
      </c>
      <c r="I140" s="10"/>
      <c r="J140" s="10"/>
      <c r="Q140" s="10"/>
      <c r="V140"/>
    </row>
    <row r="141" spans="1:22" x14ac:dyDescent="0.2">
      <c r="B141" s="21" t="s">
        <v>49</v>
      </c>
      <c r="C141" s="22" t="s">
        <v>43</v>
      </c>
      <c r="D141" s="36">
        <v>0.55900000000000005</v>
      </c>
      <c r="E141" s="36">
        <v>0.41399999999999998</v>
      </c>
      <c r="F141" s="36">
        <v>0.48099999999999998</v>
      </c>
      <c r="G141" s="36">
        <v>0.505</v>
      </c>
      <c r="H141" s="43">
        <v>0.48799999999999999</v>
      </c>
      <c r="I141" s="33"/>
      <c r="J141" s="27"/>
      <c r="Q141" s="10"/>
      <c r="V141"/>
    </row>
    <row r="142" spans="1:22" x14ac:dyDescent="0.2">
      <c r="B142" s="23"/>
      <c r="C142" s="18" t="s">
        <v>125</v>
      </c>
      <c r="D142" s="45">
        <v>0.441</v>
      </c>
      <c r="E142" s="45">
        <v>0.58599999999999997</v>
      </c>
      <c r="F142" s="45">
        <v>0.51900000000000002</v>
      </c>
      <c r="G142" s="45">
        <v>0.495</v>
      </c>
      <c r="H142" s="44">
        <v>0.51200000000000001</v>
      </c>
      <c r="I142" s="34"/>
      <c r="J142" s="27"/>
      <c r="Q142" s="10"/>
      <c r="V142"/>
    </row>
    <row r="143" spans="1:22" x14ac:dyDescent="0.2">
      <c r="I143" s="10" t="s">
        <v>88</v>
      </c>
      <c r="J143" s="10"/>
      <c r="Q143" s="10"/>
      <c r="V143"/>
    </row>
    <row r="144" spans="1:22" x14ac:dyDescent="0.2">
      <c r="A144" s="20">
        <v>46129</v>
      </c>
      <c r="C144" s="12" t="s">
        <v>43</v>
      </c>
      <c r="D144" s="10">
        <v>2</v>
      </c>
      <c r="E144" s="10">
        <v>4</v>
      </c>
      <c r="F144" s="10">
        <v>0</v>
      </c>
      <c r="G144" s="10">
        <v>4</v>
      </c>
      <c r="H144" s="25">
        <f>SUM(D144:G144)</f>
        <v>10</v>
      </c>
      <c r="I144" s="10"/>
      <c r="J144" s="10"/>
      <c r="Q144" s="10"/>
      <c r="V144"/>
    </row>
    <row r="145" spans="1:22" x14ac:dyDescent="0.2">
      <c r="A145" s="10" t="s">
        <v>58</v>
      </c>
      <c r="C145" s="12" t="s">
        <v>126</v>
      </c>
      <c r="D145" s="15">
        <v>3</v>
      </c>
      <c r="E145" s="15">
        <v>3</v>
      </c>
      <c r="F145" s="15">
        <v>2</v>
      </c>
      <c r="G145" s="15">
        <v>2</v>
      </c>
      <c r="H145" s="19">
        <f>SUM(D145:G145)+I145</f>
        <v>11</v>
      </c>
      <c r="I145" s="10">
        <v>1</v>
      </c>
      <c r="J145" s="10"/>
      <c r="Q145" s="10"/>
      <c r="V145"/>
    </row>
    <row r="146" spans="1:22" x14ac:dyDescent="0.2">
      <c r="B146" s="21" t="s">
        <v>49</v>
      </c>
      <c r="C146" s="22" t="s">
        <v>43</v>
      </c>
      <c r="D146" s="66">
        <v>0.41799999999999998</v>
      </c>
      <c r="E146" s="66">
        <v>0.47399999999999998</v>
      </c>
      <c r="F146" s="66">
        <v>0.55700000000000005</v>
      </c>
      <c r="G146" s="66">
        <v>0.61399999999999999</v>
      </c>
      <c r="H146" s="53">
        <v>0.51200000000000001</v>
      </c>
      <c r="I146" s="64">
        <v>0</v>
      </c>
      <c r="J146" s="69"/>
      <c r="Q146" s="10"/>
      <c r="V146"/>
    </row>
    <row r="147" spans="1:22" x14ac:dyDescent="0.2">
      <c r="B147" s="23"/>
      <c r="C147" s="18" t="s">
        <v>126</v>
      </c>
      <c r="D147" s="45">
        <v>0.58199999999999996</v>
      </c>
      <c r="E147" s="45">
        <v>0.52600000000000002</v>
      </c>
      <c r="F147" s="45">
        <v>0.443</v>
      </c>
      <c r="G147" s="45">
        <v>0.38600000000000001</v>
      </c>
      <c r="H147" s="44">
        <v>0.48799999999999999</v>
      </c>
      <c r="I147" s="65"/>
      <c r="J147" s="69"/>
      <c r="Q147" s="10"/>
      <c r="V147"/>
    </row>
    <row r="148" spans="1:22" x14ac:dyDescent="0.2">
      <c r="H148" s="12"/>
      <c r="Q148" s="10"/>
      <c r="V148"/>
    </row>
    <row r="149" spans="1:22" x14ac:dyDescent="0.2">
      <c r="A149" s="20">
        <v>46132</v>
      </c>
      <c r="C149" s="12" t="s">
        <v>43</v>
      </c>
      <c r="D149" s="10">
        <v>2</v>
      </c>
      <c r="E149" s="10">
        <v>3</v>
      </c>
      <c r="F149" s="10">
        <v>2</v>
      </c>
      <c r="G149" s="10">
        <v>6</v>
      </c>
      <c r="H149" s="25">
        <f>SUM(D149:G149)</f>
        <v>13</v>
      </c>
      <c r="I149" s="10"/>
      <c r="J149" s="10"/>
      <c r="Q149" s="10"/>
      <c r="V149"/>
    </row>
    <row r="150" spans="1:22" x14ac:dyDescent="0.2">
      <c r="A150" s="10" t="s">
        <v>59</v>
      </c>
      <c r="C150" s="12" t="s">
        <v>105</v>
      </c>
      <c r="D150" s="10">
        <v>0</v>
      </c>
      <c r="E150" s="10">
        <v>2</v>
      </c>
      <c r="F150" s="10">
        <v>1</v>
      </c>
      <c r="G150" s="10">
        <v>1</v>
      </c>
      <c r="H150" s="25">
        <f>SUM(D150:G150)</f>
        <v>4</v>
      </c>
      <c r="I150" s="10"/>
      <c r="J150" s="10"/>
      <c r="Q150" s="10"/>
      <c r="V150"/>
    </row>
    <row r="151" spans="1:22" x14ac:dyDescent="0.2">
      <c r="B151" s="21" t="s">
        <v>49</v>
      </c>
      <c r="C151" s="22" t="s">
        <v>43</v>
      </c>
      <c r="D151" s="36">
        <v>0.47199999999999998</v>
      </c>
      <c r="E151" s="36">
        <v>0.42199999999999999</v>
      </c>
      <c r="F151" s="36">
        <v>0.51500000000000001</v>
      </c>
      <c r="G151" s="36">
        <v>0.71499999999999997</v>
      </c>
      <c r="H151" s="43">
        <v>0.53100000000000003</v>
      </c>
      <c r="I151" s="33"/>
      <c r="J151" s="27"/>
      <c r="Q151" s="10"/>
      <c r="V151"/>
    </row>
    <row r="152" spans="1:22" x14ac:dyDescent="0.2">
      <c r="B152" s="23"/>
      <c r="C152" s="18" t="s">
        <v>105</v>
      </c>
      <c r="D152" s="45">
        <v>0.52800000000000002</v>
      </c>
      <c r="E152" s="45">
        <v>0.57799999999999996</v>
      </c>
      <c r="F152" s="45">
        <v>0.48499999999999999</v>
      </c>
      <c r="G152" s="45">
        <v>0.28499999999999998</v>
      </c>
      <c r="H152" s="44">
        <v>0.46899999999999997</v>
      </c>
      <c r="I152" s="34"/>
      <c r="J152" s="27"/>
      <c r="Q152" s="10"/>
      <c r="V152"/>
    </row>
    <row r="153" spans="1:22" x14ac:dyDescent="0.2">
      <c r="K153" s="10"/>
      <c r="Q153" s="10"/>
      <c r="V153"/>
    </row>
    <row r="154" spans="1:22" x14ac:dyDescent="0.2">
      <c r="A154" s="20">
        <v>46134</v>
      </c>
      <c r="C154" s="12" t="s">
        <v>43</v>
      </c>
      <c r="D154" s="10">
        <v>1</v>
      </c>
      <c r="E154" s="10">
        <v>1</v>
      </c>
      <c r="F154" s="10">
        <v>1</v>
      </c>
      <c r="G154" s="10">
        <v>1</v>
      </c>
      <c r="H154" s="25">
        <f>SUM(D154:G154)</f>
        <v>4</v>
      </c>
      <c r="I154" s="10"/>
      <c r="J154" s="10"/>
      <c r="K154" s="10"/>
      <c r="Q154" s="10"/>
      <c r="V154"/>
    </row>
    <row r="155" spans="1:22" x14ac:dyDescent="0.2">
      <c r="A155" s="10" t="s">
        <v>58</v>
      </c>
      <c r="C155" s="12" t="s">
        <v>127</v>
      </c>
      <c r="D155" s="10">
        <v>1</v>
      </c>
      <c r="E155" s="10">
        <v>5</v>
      </c>
      <c r="F155" s="10">
        <v>3</v>
      </c>
      <c r="G155" s="10">
        <v>2</v>
      </c>
      <c r="H155" s="25">
        <f>SUM(D155:G155)</f>
        <v>11</v>
      </c>
      <c r="I155" s="10"/>
      <c r="J155" s="10"/>
      <c r="K155" s="10"/>
      <c r="Q155" s="10"/>
      <c r="V155"/>
    </row>
    <row r="156" spans="1:22" x14ac:dyDescent="0.2">
      <c r="B156" s="21" t="s">
        <v>49</v>
      </c>
      <c r="C156" s="22" t="s">
        <v>43</v>
      </c>
      <c r="D156" s="36">
        <v>0.64700000000000002</v>
      </c>
      <c r="E156" s="36">
        <v>0.38800000000000001</v>
      </c>
      <c r="F156" s="36">
        <v>0.46400000000000002</v>
      </c>
      <c r="G156" s="36">
        <v>0.63900000000000001</v>
      </c>
      <c r="H156" s="43">
        <v>0.53200000000000003</v>
      </c>
      <c r="I156" s="33"/>
      <c r="J156" s="27"/>
      <c r="Q156" s="10"/>
      <c r="V156"/>
    </row>
    <row r="157" spans="1:22" x14ac:dyDescent="0.2">
      <c r="B157" s="23"/>
      <c r="C157" s="18" t="s">
        <v>127</v>
      </c>
      <c r="D157" s="45">
        <v>0.35299999999999998</v>
      </c>
      <c r="E157" s="45">
        <v>0.61199999999999999</v>
      </c>
      <c r="F157" s="45">
        <v>0.53600000000000003</v>
      </c>
      <c r="G157" s="45">
        <v>0.36099999999999999</v>
      </c>
      <c r="H157" s="44">
        <v>0.46800000000000003</v>
      </c>
      <c r="I157" s="34"/>
      <c r="J157" s="27"/>
      <c r="Q157" s="10"/>
      <c r="V157"/>
    </row>
    <row r="158" spans="1:22" x14ac:dyDescent="0.2">
      <c r="H158" s="12"/>
      <c r="Q158" s="10"/>
      <c r="V158"/>
    </row>
    <row r="159" spans="1:22" x14ac:dyDescent="0.2">
      <c r="A159" s="20">
        <v>46135</v>
      </c>
      <c r="C159" s="12" t="s">
        <v>43</v>
      </c>
      <c r="D159" s="10">
        <v>5</v>
      </c>
      <c r="E159" s="10">
        <v>4</v>
      </c>
      <c r="F159" s="10">
        <v>3</v>
      </c>
      <c r="G159" s="10">
        <v>3</v>
      </c>
      <c r="H159" s="25">
        <f>SUM(D159:G159)+K154</f>
        <v>15</v>
      </c>
      <c r="I159" s="10"/>
      <c r="J159" s="10"/>
      <c r="Q159" s="10"/>
      <c r="V159"/>
    </row>
    <row r="160" spans="1:22" x14ac:dyDescent="0.2">
      <c r="A160" s="10" t="s">
        <v>58</v>
      </c>
      <c r="C160" s="12" t="s">
        <v>106</v>
      </c>
      <c r="D160" s="15">
        <v>0</v>
      </c>
      <c r="E160" s="15">
        <v>2</v>
      </c>
      <c r="F160" s="15">
        <v>1</v>
      </c>
      <c r="G160" s="15">
        <v>0</v>
      </c>
      <c r="H160" s="19">
        <f>SUM(D160:G160)+K155</f>
        <v>3</v>
      </c>
      <c r="I160" s="10"/>
      <c r="J160" s="10"/>
      <c r="Q160" s="10"/>
      <c r="V160"/>
    </row>
    <row r="161" spans="1:22" x14ac:dyDescent="0.2">
      <c r="B161" s="21" t="s">
        <v>49</v>
      </c>
      <c r="C161" s="22" t="s">
        <v>43</v>
      </c>
      <c r="D161" s="26">
        <v>0.70199999999999996</v>
      </c>
      <c r="E161" s="26">
        <v>0.6</v>
      </c>
      <c r="F161" s="26">
        <v>0.61899999999999999</v>
      </c>
      <c r="G161" s="26">
        <v>0.69099999999999995</v>
      </c>
      <c r="H161" s="43">
        <v>0.65200000000000002</v>
      </c>
      <c r="I161" s="13"/>
      <c r="J161" s="10"/>
      <c r="Q161" s="10"/>
      <c r="V161"/>
    </row>
    <row r="162" spans="1:22" x14ac:dyDescent="0.2">
      <c r="B162" s="23"/>
      <c r="C162" s="18" t="s">
        <v>106</v>
      </c>
      <c r="D162" s="45">
        <v>0.29799999999999999</v>
      </c>
      <c r="E162" s="45">
        <v>0.4</v>
      </c>
      <c r="F162" s="45">
        <v>0.38100000000000001</v>
      </c>
      <c r="G162" s="45">
        <v>0.309</v>
      </c>
      <c r="H162" s="44">
        <v>0.34799999999999998</v>
      </c>
      <c r="I162" s="15"/>
      <c r="J162" s="10"/>
      <c r="Q162" s="10"/>
      <c r="V162"/>
    </row>
    <row r="163" spans="1:22" x14ac:dyDescent="0.2">
      <c r="I163" s="10"/>
      <c r="J163" s="10"/>
      <c r="K163" s="10"/>
      <c r="L163" s="10"/>
      <c r="M163" s="10"/>
      <c r="N163" s="10"/>
      <c r="O163" s="10"/>
      <c r="Q163" s="10"/>
      <c r="V163"/>
    </row>
    <row r="164" spans="1:22" x14ac:dyDescent="0.2">
      <c r="A164" s="20">
        <v>45774</v>
      </c>
      <c r="C164" s="12" t="s">
        <v>43</v>
      </c>
      <c r="D164" s="10">
        <v>4</v>
      </c>
      <c r="E164" s="10">
        <v>7</v>
      </c>
      <c r="F164" s="10">
        <v>6</v>
      </c>
      <c r="G164" s="10">
        <v>1</v>
      </c>
      <c r="H164" s="25">
        <f>SUM(D164:G164)+(I164+K164+L164+M164+N164+O164)</f>
        <v>18</v>
      </c>
      <c r="I164" s="10"/>
      <c r="J164" s="10"/>
      <c r="K164" s="10"/>
      <c r="L164" s="10"/>
      <c r="M164" s="10"/>
      <c r="N164" s="10"/>
      <c r="O164" s="10"/>
      <c r="Q164" s="10"/>
      <c r="V164"/>
    </row>
    <row r="165" spans="1:22" x14ac:dyDescent="0.2">
      <c r="A165" s="10" t="s">
        <v>59</v>
      </c>
      <c r="C165" s="12" t="s">
        <v>107</v>
      </c>
      <c r="D165" s="10">
        <v>1</v>
      </c>
      <c r="E165" s="10">
        <v>0</v>
      </c>
      <c r="F165" s="10">
        <v>3</v>
      </c>
      <c r="G165" s="10">
        <v>1</v>
      </c>
      <c r="H165" s="25">
        <f>SUM(D165:G165)+K165+(I165+L165+M165+N165+O165)</f>
        <v>5</v>
      </c>
      <c r="I165" s="10"/>
      <c r="J165" s="10"/>
      <c r="K165" s="10"/>
      <c r="L165" s="10"/>
      <c r="M165" s="10"/>
      <c r="N165" s="10"/>
      <c r="O165" s="10"/>
      <c r="Q165" s="10"/>
      <c r="V165"/>
    </row>
    <row r="166" spans="1:22" x14ac:dyDescent="0.2">
      <c r="B166" s="21" t="s">
        <v>49</v>
      </c>
      <c r="C166" s="22" t="s">
        <v>43</v>
      </c>
      <c r="D166" s="36">
        <v>0.48599999999999999</v>
      </c>
      <c r="E166" s="36">
        <v>0.64700000000000002</v>
      </c>
      <c r="F166" s="36">
        <v>0.57299999999999995</v>
      </c>
      <c r="G166" s="36">
        <v>0.89300000000000002</v>
      </c>
      <c r="H166" s="43">
        <v>0.63200000000000001</v>
      </c>
      <c r="I166" s="13"/>
      <c r="J166" s="10"/>
      <c r="Q166" s="10"/>
      <c r="V166"/>
    </row>
    <row r="167" spans="1:22" x14ac:dyDescent="0.2">
      <c r="B167" s="23"/>
      <c r="C167" s="18" t="s">
        <v>107</v>
      </c>
      <c r="D167" s="45">
        <v>0.51400000000000001</v>
      </c>
      <c r="E167" s="45">
        <v>0.35299999999999998</v>
      </c>
      <c r="F167" s="45">
        <v>0.42699999999999999</v>
      </c>
      <c r="G167" s="45">
        <v>0.107</v>
      </c>
      <c r="H167" s="44">
        <v>0.36799999999999999</v>
      </c>
      <c r="I167" s="15"/>
      <c r="J167" s="10"/>
      <c r="Q167" s="10"/>
      <c r="V167"/>
    </row>
    <row r="168" spans="1:22" x14ac:dyDescent="0.2">
      <c r="I168" s="10"/>
      <c r="J168" s="10"/>
      <c r="Q168" s="10"/>
      <c r="V168"/>
    </row>
    <row r="169" spans="1:22" x14ac:dyDescent="0.2">
      <c r="A169" s="20">
        <v>46141</v>
      </c>
      <c r="C169" s="12" t="s">
        <v>73</v>
      </c>
      <c r="D169" s="10">
        <v>8</v>
      </c>
      <c r="E169" s="10">
        <v>10</v>
      </c>
      <c r="F169" s="10">
        <v>2</v>
      </c>
      <c r="G169" s="10">
        <v>2</v>
      </c>
      <c r="H169" s="25">
        <f>SUM(D169:G169)+(I169+K169+L169+M169+N169+O169)</f>
        <v>22</v>
      </c>
      <c r="I169" s="10"/>
      <c r="J169" s="10"/>
      <c r="Q169" s="10"/>
      <c r="V169"/>
    </row>
    <row r="170" spans="1:22" x14ac:dyDescent="0.2">
      <c r="A170" s="10" t="s">
        <v>58</v>
      </c>
      <c r="C170" s="12" t="s">
        <v>121</v>
      </c>
      <c r="D170" s="10">
        <v>0</v>
      </c>
      <c r="E170" s="10">
        <v>0</v>
      </c>
      <c r="F170" s="10">
        <v>0</v>
      </c>
      <c r="G170" s="10">
        <v>0</v>
      </c>
      <c r="H170" s="25">
        <f>SUM(D170:G170)+K170+(I170+L170+M170+N170+O170)</f>
        <v>0</v>
      </c>
      <c r="I170" s="10"/>
      <c r="J170" s="10"/>
      <c r="Q170" s="10"/>
      <c r="V170"/>
    </row>
    <row r="171" spans="1:22" x14ac:dyDescent="0.2">
      <c r="B171" s="21"/>
      <c r="C171" s="22" t="s">
        <v>73</v>
      </c>
      <c r="D171" s="36">
        <v>0.52500000000000002</v>
      </c>
      <c r="E171" s="36">
        <v>0.73499999999999999</v>
      </c>
      <c r="F171" s="36">
        <v>0.58199999999999996</v>
      </c>
      <c r="G171" s="36">
        <v>0.69799999999999995</v>
      </c>
      <c r="H171" s="43">
        <v>0.63100000000000001</v>
      </c>
      <c r="I171" s="36"/>
      <c r="J171" s="68"/>
      <c r="Q171" s="10"/>
      <c r="V171"/>
    </row>
    <row r="172" spans="1:22" x14ac:dyDescent="0.2">
      <c r="B172" s="23"/>
      <c r="C172" s="18" t="s">
        <v>121</v>
      </c>
      <c r="D172" s="45">
        <v>0.47499999999999998</v>
      </c>
      <c r="E172" s="45">
        <v>0.26500000000000001</v>
      </c>
      <c r="F172" s="45">
        <v>0.41799999999999998</v>
      </c>
      <c r="G172" s="45">
        <v>0.30199999999999999</v>
      </c>
      <c r="H172" s="44">
        <v>0.36899999999999999</v>
      </c>
      <c r="I172" s="45"/>
      <c r="J172" s="68"/>
      <c r="Q172" s="10"/>
      <c r="V172"/>
    </row>
    <row r="173" spans="1:22" x14ac:dyDescent="0.2">
      <c r="Q173" s="10"/>
      <c r="V173"/>
    </row>
    <row r="174" spans="1:22" x14ac:dyDescent="0.2">
      <c r="A174" s="20">
        <v>46146</v>
      </c>
      <c r="C174" s="12" t="s">
        <v>73</v>
      </c>
      <c r="D174" s="10">
        <v>4</v>
      </c>
      <c r="E174" s="10">
        <v>3</v>
      </c>
      <c r="F174" s="10">
        <v>3</v>
      </c>
      <c r="G174" s="10">
        <v>1</v>
      </c>
      <c r="H174" s="25">
        <f>SUM(D174:G174)+(I174+K174+L174+M174+N174+O174)</f>
        <v>11</v>
      </c>
      <c r="I174" s="10"/>
      <c r="J174" s="10"/>
      <c r="Q174" s="10"/>
      <c r="V174"/>
    </row>
    <row r="175" spans="1:22" x14ac:dyDescent="0.2">
      <c r="A175" s="10" t="s">
        <v>59</v>
      </c>
      <c r="C175" s="12" t="s">
        <v>123</v>
      </c>
      <c r="D175" s="10">
        <v>2</v>
      </c>
      <c r="E175" s="10">
        <v>5</v>
      </c>
      <c r="F175" s="10">
        <v>3</v>
      </c>
      <c r="G175" s="10">
        <v>5</v>
      </c>
      <c r="H175" s="25">
        <f>SUM(D175:G175)+K175+(I175+L175+M175+N175+O175)</f>
        <v>15</v>
      </c>
      <c r="I175" s="10"/>
      <c r="J175" s="10"/>
      <c r="Q175" s="10"/>
      <c r="V175"/>
    </row>
    <row r="176" spans="1:22" x14ac:dyDescent="0.2">
      <c r="B176" s="21"/>
      <c r="C176" s="22" t="s">
        <v>73</v>
      </c>
      <c r="D176" s="36">
        <v>0.53400000000000003</v>
      </c>
      <c r="E176" s="36">
        <v>0.48499999999999999</v>
      </c>
      <c r="F176" s="36">
        <v>0.495</v>
      </c>
      <c r="G176" s="36">
        <v>0.39</v>
      </c>
      <c r="H176" s="43">
        <v>0.47699999999999998</v>
      </c>
      <c r="I176" s="13"/>
      <c r="J176" s="10"/>
      <c r="Q176" s="10"/>
      <c r="V176"/>
    </row>
    <row r="177" spans="1:22" x14ac:dyDescent="0.2">
      <c r="B177" s="23"/>
      <c r="C177" s="18" t="s">
        <v>123</v>
      </c>
      <c r="D177" s="45">
        <v>0.46600000000000003</v>
      </c>
      <c r="E177" s="45">
        <v>0.51500000000000001</v>
      </c>
      <c r="F177" s="45">
        <v>0.505</v>
      </c>
      <c r="G177" s="45">
        <v>0.61</v>
      </c>
      <c r="H177" s="44">
        <v>0.52300000000000002</v>
      </c>
      <c r="I177" s="15"/>
      <c r="J177" s="10"/>
      <c r="Q177" s="10"/>
      <c r="V177"/>
    </row>
    <row r="178" spans="1:22" x14ac:dyDescent="0.2">
      <c r="I178" s="10"/>
      <c r="J178" s="10"/>
      <c r="Q178" s="10"/>
      <c r="V178"/>
    </row>
    <row r="179" spans="1:22" x14ac:dyDescent="0.2">
      <c r="A179" s="20">
        <v>46148</v>
      </c>
      <c r="C179" s="12" t="s">
        <v>73</v>
      </c>
      <c r="D179" s="10">
        <v>2</v>
      </c>
      <c r="E179" s="10">
        <v>2</v>
      </c>
      <c r="F179" s="10">
        <v>3</v>
      </c>
      <c r="G179" s="10">
        <v>1</v>
      </c>
      <c r="H179" s="25">
        <f>SUM(D179:G179)+(I179+K179+L179+M179+N179+O179)</f>
        <v>8</v>
      </c>
      <c r="I179" s="10"/>
      <c r="J179" s="10"/>
      <c r="Q179" s="10"/>
      <c r="V179"/>
    </row>
    <row r="180" spans="1:22" x14ac:dyDescent="0.2">
      <c r="A180" s="10" t="s">
        <v>58</v>
      </c>
      <c r="C180" s="12" t="s">
        <v>124</v>
      </c>
      <c r="D180" s="10">
        <v>0</v>
      </c>
      <c r="E180" s="10">
        <v>1</v>
      </c>
      <c r="F180" s="10">
        <v>3</v>
      </c>
      <c r="G180" s="10">
        <v>1</v>
      </c>
      <c r="H180" s="19">
        <f>SUM(D180:G180)+K180+(I180+L180+M180+N180+O180)</f>
        <v>5</v>
      </c>
      <c r="I180" s="10"/>
      <c r="J180" s="10"/>
      <c r="Q180" s="10"/>
      <c r="V180"/>
    </row>
    <row r="181" spans="1:22" x14ac:dyDescent="0.2">
      <c r="B181" s="21"/>
      <c r="C181" s="22" t="s">
        <v>73</v>
      </c>
      <c r="D181" s="36">
        <v>0.623</v>
      </c>
      <c r="E181" s="36">
        <v>0.55300000000000005</v>
      </c>
      <c r="F181" s="36">
        <v>0.68200000000000005</v>
      </c>
      <c r="G181" s="36">
        <v>0.58899999999999997</v>
      </c>
      <c r="H181" s="67">
        <v>0.61</v>
      </c>
      <c r="I181" s="13"/>
      <c r="J181" s="10"/>
      <c r="Q181" s="10"/>
      <c r="V181"/>
    </row>
    <row r="182" spans="1:22" x14ac:dyDescent="0.2">
      <c r="B182" s="23"/>
      <c r="C182" s="18" t="s">
        <v>124</v>
      </c>
      <c r="D182" s="45">
        <v>0.377</v>
      </c>
      <c r="E182" s="45">
        <v>0.44700000000000001</v>
      </c>
      <c r="F182" s="45">
        <v>0.318</v>
      </c>
      <c r="G182" s="45">
        <v>0.41099999999999998</v>
      </c>
      <c r="H182" s="44">
        <v>0.39</v>
      </c>
      <c r="I182" s="15"/>
      <c r="J182" s="10"/>
      <c r="Q182" s="10"/>
      <c r="V182"/>
    </row>
    <row r="183" spans="1:22" x14ac:dyDescent="0.2">
      <c r="Q183" s="10"/>
      <c r="V183"/>
    </row>
    <row r="184" spans="1:22" x14ac:dyDescent="0.2">
      <c r="A184" s="20">
        <v>46157</v>
      </c>
      <c r="C184" s="12" t="s">
        <v>73</v>
      </c>
      <c r="D184" s="10">
        <v>5</v>
      </c>
      <c r="E184" s="10">
        <v>3</v>
      </c>
      <c r="F184" s="10">
        <v>1</v>
      </c>
      <c r="G184" s="10">
        <v>6</v>
      </c>
      <c r="H184" s="25">
        <f>SUM(D184:G184)+(I184+K184+L184+M184+N184+O184)</f>
        <v>15</v>
      </c>
      <c r="I184" s="10"/>
      <c r="J184" s="10"/>
      <c r="Q184" s="10"/>
      <c r="V184"/>
    </row>
    <row r="185" spans="1:22" x14ac:dyDescent="0.2">
      <c r="A185" s="10" t="s">
        <v>133</v>
      </c>
      <c r="C185" s="12" t="s">
        <v>124</v>
      </c>
      <c r="D185" s="10">
        <v>2</v>
      </c>
      <c r="E185" s="10">
        <v>0</v>
      </c>
      <c r="F185" s="10">
        <v>2</v>
      </c>
      <c r="G185" s="10">
        <v>3</v>
      </c>
      <c r="H185" s="25">
        <f>SUM(D185:G185)+K185+(I185+L185+M185+N185+O185)</f>
        <v>7</v>
      </c>
      <c r="I185" s="10"/>
      <c r="J185" s="10"/>
      <c r="Q185" s="10"/>
      <c r="V185"/>
    </row>
    <row r="186" spans="1:22" x14ac:dyDescent="0.2">
      <c r="B186" s="21"/>
      <c r="C186" s="22" t="s">
        <v>73</v>
      </c>
      <c r="D186" s="36">
        <v>0.53</v>
      </c>
      <c r="E186" s="36">
        <v>0.71499999999999997</v>
      </c>
      <c r="F186" s="36">
        <v>0.55900000000000005</v>
      </c>
      <c r="G186" s="36">
        <v>0.626</v>
      </c>
      <c r="H186" s="43">
        <v>0.60899999999999999</v>
      </c>
      <c r="I186" s="13"/>
      <c r="J186" s="10"/>
      <c r="Q186" s="10"/>
      <c r="V186"/>
    </row>
    <row r="187" spans="1:22" x14ac:dyDescent="0.2">
      <c r="B187" s="23"/>
      <c r="C187" s="18" t="s">
        <v>124</v>
      </c>
      <c r="D187" s="45">
        <v>0.47</v>
      </c>
      <c r="E187" s="45">
        <v>0.28499999999999998</v>
      </c>
      <c r="F187" s="45">
        <v>0.441</v>
      </c>
      <c r="G187" s="45">
        <v>0.374</v>
      </c>
      <c r="H187" s="44">
        <v>0.39100000000000001</v>
      </c>
      <c r="I187" s="15"/>
      <c r="J187" s="10"/>
      <c r="Q187" s="10"/>
      <c r="V187"/>
    </row>
    <row r="188" spans="1:22" x14ac:dyDescent="0.2">
      <c r="Q188" s="10"/>
      <c r="V188"/>
    </row>
    <row r="189" spans="1:22" x14ac:dyDescent="0.2">
      <c r="A189" s="20">
        <v>46161</v>
      </c>
      <c r="C189" s="12" t="s">
        <v>73</v>
      </c>
      <c r="D189" s="10">
        <v>2</v>
      </c>
      <c r="E189" s="10">
        <v>3</v>
      </c>
      <c r="F189" s="10">
        <v>3</v>
      </c>
      <c r="G189" s="10">
        <v>4</v>
      </c>
      <c r="H189" s="25">
        <f>SUM(D189:G189)+(I189+K189+L189+M189+N189+O189)</f>
        <v>12</v>
      </c>
      <c r="I189" s="10"/>
      <c r="J189" s="10"/>
      <c r="Q189" s="10"/>
      <c r="V189"/>
    </row>
    <row r="190" spans="1:22" x14ac:dyDescent="0.2">
      <c r="A190" s="10" t="s">
        <v>133</v>
      </c>
      <c r="C190" s="12" t="s">
        <v>104</v>
      </c>
      <c r="D190" s="10">
        <v>5</v>
      </c>
      <c r="E190" s="10">
        <v>5</v>
      </c>
      <c r="F190" s="10">
        <v>0</v>
      </c>
      <c r="G190" s="10">
        <v>4</v>
      </c>
      <c r="H190" s="25">
        <f>SUM(D190:G190)+K190+(I190+L190+M190+N190+O190)</f>
        <v>14</v>
      </c>
      <c r="I190" s="10"/>
      <c r="J190" s="10"/>
      <c r="Q190" s="10"/>
      <c r="V190"/>
    </row>
    <row r="191" spans="1:22" x14ac:dyDescent="0.2">
      <c r="B191" s="21"/>
      <c r="C191" s="22" t="s">
        <v>73</v>
      </c>
      <c r="D191" s="36">
        <v>0.44700000000000001</v>
      </c>
      <c r="E191" s="36">
        <v>0.46800000000000003</v>
      </c>
      <c r="F191" s="36">
        <v>0.624</v>
      </c>
      <c r="G191" s="36">
        <v>0.52200000000000002</v>
      </c>
      <c r="H191" s="43">
        <v>0.51300000000000001</v>
      </c>
      <c r="I191" s="13"/>
      <c r="J191" s="10"/>
      <c r="Q191" s="10"/>
      <c r="V191"/>
    </row>
    <row r="192" spans="1:22" x14ac:dyDescent="0.2">
      <c r="B192" s="23"/>
      <c r="C192" s="18" t="s">
        <v>104</v>
      </c>
      <c r="D192" s="45">
        <v>0.55300000000000005</v>
      </c>
      <c r="E192" s="45">
        <v>0.53200000000000003</v>
      </c>
      <c r="F192" s="45">
        <v>0.376</v>
      </c>
      <c r="G192" s="45">
        <v>0.47799999999999998</v>
      </c>
      <c r="H192" s="44">
        <v>0.48699999999999999</v>
      </c>
      <c r="I192" s="15"/>
      <c r="J192" s="10"/>
      <c r="Q192" s="10"/>
      <c r="V192"/>
    </row>
  </sheetData>
  <sheetProtection algorithmName="SHA-512" hashValue="p8XQHqWk0MKyxS9iHDGRXSWZN8ippIT+9k4NPMLGihLAGWqRBkF3P6uFyqyS5BWmF7sQta4tH9yHi5QCFAL/Fw==" saltValue="NjTFEsxZ876nDUHwFOPyLA==" spinCount="100000" sheet="1" objects="1" scenarios="1"/>
  <sortState xmlns:xlrd2="http://schemas.microsoft.com/office/spreadsheetml/2017/richdata2" ref="A3:Q33">
    <sortCondition ref="B3:B33" customList="A,M,D"/>
  </sortState>
  <printOptions gridLines="1"/>
  <pageMargins left="0" right="0" top="0.5" bottom="0.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twetherb</dc:creator>
  <cp:lastModifiedBy>Tom Wetherby</cp:lastModifiedBy>
  <cp:lastPrinted>2025-03-10T19:03:42Z</cp:lastPrinted>
  <dcterms:created xsi:type="dcterms:W3CDTF">2013-03-19T12:42:01Z</dcterms:created>
  <dcterms:modified xsi:type="dcterms:W3CDTF">2026-07-23T20:02:21Z</dcterms:modified>
</cp:coreProperties>
</file>