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Stats and Rosters/"/>
    </mc:Choice>
  </mc:AlternateContent>
  <xr:revisionPtr revIDLastSave="0" documentId="8_{BCFD1A8F-E807-8A46-856A-E519BA1AB44B}" xr6:coauthVersionLast="47" xr6:coauthVersionMax="47" xr10:uidLastSave="{00000000-0000-0000-0000-000000000000}"/>
  <bookViews>
    <workbookView xWindow="1260" yWindow="760" windowWidth="333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18" i="1" l="1"/>
  <c r="P4" i="1"/>
  <c r="O59" i="1"/>
  <c r="K22" i="1"/>
  <c r="J24" i="1"/>
  <c r="F47" i="1"/>
  <c r="W15" i="1" l="1"/>
  <c r="W14" i="1"/>
  <c r="W10" i="1"/>
  <c r="W9" i="1"/>
  <c r="W8" i="1"/>
  <c r="Q37" i="1" l="1"/>
  <c r="P37" i="1"/>
  <c r="O37" i="1"/>
  <c r="N37" i="1"/>
  <c r="J37" i="1"/>
  <c r="G37" i="1"/>
  <c r="F37" i="1"/>
  <c r="E37" i="1"/>
  <c r="Q36" i="1"/>
  <c r="P36" i="1"/>
  <c r="O36" i="1"/>
  <c r="N36" i="1"/>
  <c r="J36" i="1"/>
  <c r="G36" i="1"/>
  <c r="F36" i="1"/>
  <c r="E36" i="1"/>
  <c r="Q31" i="1"/>
  <c r="O31" i="1"/>
  <c r="N31" i="1"/>
  <c r="J31" i="1"/>
  <c r="G31" i="1"/>
  <c r="F31" i="1"/>
  <c r="E31" i="1"/>
  <c r="Q29" i="1"/>
  <c r="P29" i="1"/>
  <c r="O29" i="1"/>
  <c r="N29" i="1"/>
  <c r="J29" i="1"/>
  <c r="G29" i="1"/>
  <c r="F29" i="1"/>
  <c r="E29" i="1"/>
  <c r="Q28" i="1"/>
  <c r="P28" i="1"/>
  <c r="O28" i="1"/>
  <c r="N28" i="1"/>
  <c r="J28" i="1"/>
  <c r="G28" i="1"/>
  <c r="F28" i="1"/>
  <c r="E28" i="1"/>
  <c r="Q27" i="1"/>
  <c r="P27" i="1"/>
  <c r="O27" i="1"/>
  <c r="N27" i="1"/>
  <c r="J27" i="1"/>
  <c r="G27" i="1"/>
  <c r="F27" i="1"/>
  <c r="E27" i="1"/>
  <c r="Q26" i="1"/>
  <c r="P26" i="1"/>
  <c r="O26" i="1"/>
  <c r="N26" i="1"/>
  <c r="J26" i="1"/>
  <c r="G26" i="1"/>
  <c r="F26" i="1"/>
  <c r="E26" i="1"/>
  <c r="Q25" i="1"/>
  <c r="P25" i="1"/>
  <c r="O25" i="1"/>
  <c r="N25" i="1"/>
  <c r="J25" i="1"/>
  <c r="G25" i="1"/>
  <c r="F25" i="1"/>
  <c r="E25" i="1"/>
  <c r="Q24" i="1"/>
  <c r="P24" i="1"/>
  <c r="O24" i="1"/>
  <c r="N24" i="1"/>
  <c r="G24" i="1"/>
  <c r="F24" i="1"/>
  <c r="E24" i="1"/>
  <c r="Q23" i="1"/>
  <c r="P23" i="1"/>
  <c r="O23" i="1"/>
  <c r="N23" i="1"/>
  <c r="J23" i="1"/>
  <c r="G23" i="1"/>
  <c r="F23" i="1"/>
  <c r="E23" i="1"/>
  <c r="Q22" i="1"/>
  <c r="P22" i="1"/>
  <c r="O22" i="1"/>
  <c r="N22" i="1"/>
  <c r="L22" i="1"/>
  <c r="J22" i="1"/>
  <c r="G22" i="1"/>
  <c r="F22" i="1"/>
  <c r="E22" i="1"/>
  <c r="Q21" i="1"/>
  <c r="P21" i="1"/>
  <c r="O21" i="1"/>
  <c r="N21" i="1"/>
  <c r="J21" i="1"/>
  <c r="G21" i="1"/>
  <c r="F21" i="1"/>
  <c r="E21" i="1"/>
  <c r="Q20" i="1"/>
  <c r="P20" i="1"/>
  <c r="O20" i="1"/>
  <c r="N20" i="1"/>
  <c r="J20" i="1"/>
  <c r="G20" i="1"/>
  <c r="F20" i="1"/>
  <c r="E20" i="1"/>
  <c r="Q16" i="1"/>
  <c r="P16" i="1"/>
  <c r="O16" i="1"/>
  <c r="N16" i="1"/>
  <c r="L16" i="1"/>
  <c r="K16" i="1"/>
  <c r="J16" i="1"/>
  <c r="G16" i="1"/>
  <c r="F16" i="1"/>
  <c r="E16" i="1"/>
  <c r="Q15" i="1"/>
  <c r="P15" i="1"/>
  <c r="O15" i="1"/>
  <c r="N15" i="1"/>
  <c r="J15" i="1"/>
  <c r="G15" i="1"/>
  <c r="F15" i="1"/>
  <c r="E15" i="1"/>
  <c r="Q14" i="1"/>
  <c r="P14" i="1"/>
  <c r="O14" i="1"/>
  <c r="N14" i="1"/>
  <c r="J14" i="1"/>
  <c r="G14" i="1"/>
  <c r="F14" i="1"/>
  <c r="E14" i="1"/>
  <c r="Q12" i="1"/>
  <c r="P12" i="1"/>
  <c r="O12" i="1"/>
  <c r="N12" i="1"/>
  <c r="J12" i="1"/>
  <c r="G12" i="1"/>
  <c r="F12" i="1"/>
  <c r="E12" i="1"/>
  <c r="Q11" i="1"/>
  <c r="P11" i="1"/>
  <c r="O11" i="1"/>
  <c r="N11" i="1"/>
  <c r="L11" i="1"/>
  <c r="K11" i="1"/>
  <c r="J11" i="1"/>
  <c r="G11" i="1"/>
  <c r="F11" i="1"/>
  <c r="E11" i="1"/>
  <c r="Q10" i="1"/>
  <c r="P10" i="1"/>
  <c r="O10" i="1"/>
  <c r="N10" i="1"/>
  <c r="J10" i="1"/>
  <c r="G10" i="1"/>
  <c r="F10" i="1"/>
  <c r="E10" i="1"/>
  <c r="Q9" i="1"/>
  <c r="P9" i="1"/>
  <c r="O9" i="1"/>
  <c r="N9" i="1"/>
  <c r="J9" i="1"/>
  <c r="G9" i="1"/>
  <c r="F9" i="1"/>
  <c r="E9" i="1"/>
  <c r="Q8" i="1"/>
  <c r="P8" i="1"/>
  <c r="O8" i="1"/>
  <c r="N8" i="1"/>
  <c r="J8" i="1"/>
  <c r="G8" i="1"/>
  <c r="F8" i="1"/>
  <c r="E8" i="1"/>
  <c r="Q7" i="1"/>
  <c r="P7" i="1"/>
  <c r="O7" i="1"/>
  <c r="N7" i="1"/>
  <c r="J7" i="1"/>
  <c r="G7" i="1"/>
  <c r="F7" i="1"/>
  <c r="E7" i="1"/>
  <c r="Q6" i="1"/>
  <c r="P6" i="1"/>
  <c r="O6" i="1"/>
  <c r="N6" i="1"/>
  <c r="J6" i="1"/>
  <c r="G6" i="1"/>
  <c r="F6" i="1"/>
  <c r="E6" i="1"/>
  <c r="Q5" i="1"/>
  <c r="P5" i="1"/>
  <c r="O5" i="1"/>
  <c r="N5" i="1"/>
  <c r="J5" i="1"/>
  <c r="G5" i="1"/>
  <c r="F5" i="1"/>
  <c r="E5" i="1"/>
  <c r="Q4" i="1"/>
  <c r="O4" i="1"/>
  <c r="N4" i="1"/>
  <c r="J4" i="1"/>
  <c r="G4" i="1"/>
  <c r="F4" i="1"/>
  <c r="E4" i="1"/>
  <c r="Q3" i="1"/>
  <c r="P3" i="1"/>
  <c r="O3" i="1"/>
  <c r="N3" i="1"/>
  <c r="J3" i="1"/>
  <c r="G3" i="1"/>
  <c r="F3" i="1"/>
  <c r="E3" i="1"/>
  <c r="F57" i="1"/>
  <c r="E57" i="1"/>
  <c r="F60" i="1"/>
  <c r="E60" i="1"/>
  <c r="L58" i="1"/>
  <c r="F51" i="1"/>
  <c r="E51" i="1"/>
  <c r="F54" i="1"/>
  <c r="E54" i="1"/>
  <c r="E47" i="1"/>
  <c r="N47" i="1"/>
  <c r="M47" i="1"/>
  <c r="M56" i="1"/>
  <c r="L60" i="1"/>
  <c r="F64" i="1"/>
  <c r="D64" i="1"/>
  <c r="P31" i="1" l="1"/>
  <c r="K23" i="1"/>
  <c r="F46" i="1"/>
  <c r="E46" i="1"/>
  <c r="M29" i="1"/>
  <c r="L29" i="1"/>
  <c r="K29" i="1"/>
  <c r="M24" i="1"/>
  <c r="K24" i="1"/>
  <c r="M23" i="1"/>
  <c r="L23" i="1"/>
  <c r="E13" i="1"/>
  <c r="D65" i="1"/>
  <c r="H9" i="1"/>
  <c r="E32" i="1" l="1"/>
  <c r="Q13" i="1" l="1"/>
  <c r="P13" i="1"/>
  <c r="O13" i="1"/>
  <c r="N13" i="1"/>
  <c r="J13" i="1"/>
  <c r="G13" i="1"/>
  <c r="F13" i="1"/>
  <c r="E18" i="1"/>
  <c r="Q17" i="1"/>
  <c r="P17" i="1"/>
  <c r="O17" i="1"/>
  <c r="N17" i="1"/>
  <c r="J17" i="1"/>
  <c r="G17" i="1"/>
  <c r="F17" i="1"/>
  <c r="E17" i="1"/>
  <c r="E30" i="1"/>
  <c r="H15" i="1"/>
  <c r="E38" i="1" l="1"/>
  <c r="Q33" i="1"/>
  <c r="P33" i="1"/>
  <c r="O33" i="1"/>
  <c r="N33" i="1"/>
  <c r="J33" i="1"/>
  <c r="G33" i="1"/>
  <c r="H33" i="1" s="1"/>
  <c r="F33" i="1"/>
  <c r="E33" i="1"/>
  <c r="Q32" i="1"/>
  <c r="P32" i="1"/>
  <c r="O32" i="1"/>
  <c r="N32" i="1"/>
  <c r="J32" i="1"/>
  <c r="G32" i="1"/>
  <c r="F32" i="1"/>
  <c r="Q30" i="1"/>
  <c r="P30" i="1"/>
  <c r="O30" i="1"/>
  <c r="N30" i="1"/>
  <c r="J30" i="1"/>
  <c r="G30" i="1"/>
  <c r="F30" i="1"/>
  <c r="Q19" i="1"/>
  <c r="P19" i="1"/>
  <c r="O19" i="1"/>
  <c r="N19" i="1"/>
  <c r="J19" i="1"/>
  <c r="G19" i="1"/>
  <c r="F19" i="1"/>
  <c r="E19" i="1"/>
  <c r="Q18" i="1"/>
  <c r="P18" i="1"/>
  <c r="O18" i="1"/>
  <c r="N18" i="1"/>
  <c r="L18" i="1"/>
  <c r="K18" i="1"/>
  <c r="J18" i="1"/>
  <c r="R18" i="1" s="1"/>
  <c r="G18" i="1"/>
  <c r="F18" i="1"/>
  <c r="F48" i="1"/>
  <c r="E48" i="1"/>
  <c r="H32" i="1"/>
  <c r="R32" i="1"/>
  <c r="S32" i="1"/>
  <c r="I32" i="1"/>
  <c r="I33" i="1"/>
  <c r="H30" i="1"/>
  <c r="S30" i="1" s="1"/>
  <c r="I30" i="1"/>
  <c r="S18" i="1"/>
  <c r="R19" i="1"/>
  <c r="S19" i="1"/>
  <c r="M18" i="1"/>
  <c r="I18" i="1"/>
  <c r="I19" i="1"/>
  <c r="H18" i="1"/>
  <c r="H19" i="1"/>
  <c r="Q38" i="1"/>
  <c r="P38" i="1"/>
  <c r="O38" i="1"/>
  <c r="N38" i="1"/>
  <c r="J38" i="1"/>
  <c r="H38" i="1"/>
  <c r="G38" i="1"/>
  <c r="F38" i="1"/>
  <c r="R38" i="1"/>
  <c r="S38" i="1"/>
  <c r="I38" i="1"/>
  <c r="H48" i="1"/>
  <c r="G48" i="1"/>
  <c r="H4" i="1"/>
  <c r="H145" i="1"/>
  <c r="H144" i="1"/>
  <c r="S33" i="1" l="1"/>
  <c r="R33" i="1"/>
  <c r="R30" i="1"/>
  <c r="I24" i="1"/>
  <c r="I17" i="1" l="1"/>
  <c r="I13" i="1"/>
  <c r="H17" i="1" l="1"/>
  <c r="S17" i="1" s="1"/>
  <c r="H13" i="1"/>
  <c r="S13" i="1" s="1"/>
  <c r="R17" i="1"/>
  <c r="H89" i="1"/>
  <c r="M59" i="1"/>
  <c r="N48" i="1"/>
  <c r="M61" i="1"/>
  <c r="R13" i="1" l="1"/>
  <c r="I7" i="1"/>
  <c r="H7" i="1"/>
  <c r="H20" i="1"/>
  <c r="S20" i="1" s="1"/>
  <c r="H12" i="1"/>
  <c r="S4" i="1"/>
  <c r="H29" i="1"/>
  <c r="I37" i="1"/>
  <c r="H37" i="1"/>
  <c r="S37" i="1" s="1"/>
  <c r="I20" i="1"/>
  <c r="I9" i="1"/>
  <c r="S9" i="1"/>
  <c r="I4" i="1"/>
  <c r="H185" i="1"/>
  <c r="H184" i="1"/>
  <c r="H47" i="1"/>
  <c r="G47" i="1"/>
  <c r="M22" i="1"/>
  <c r="R9" i="1" l="1"/>
  <c r="R37" i="1"/>
  <c r="R20" i="1"/>
  <c r="R4" i="1"/>
  <c r="H25" i="1" l="1"/>
  <c r="H23" i="1"/>
  <c r="H180" i="1"/>
  <c r="H179" i="1"/>
  <c r="H175" i="1"/>
  <c r="H174" i="1"/>
  <c r="H28" i="1"/>
  <c r="R28" i="1" s="1"/>
  <c r="I28" i="1"/>
  <c r="H27" i="1"/>
  <c r="H22" i="1"/>
  <c r="H170" i="1"/>
  <c r="H169" i="1"/>
  <c r="S28" i="1" l="1"/>
  <c r="H10" i="1"/>
  <c r="H164" i="1"/>
  <c r="H165" i="1"/>
  <c r="H159" i="1"/>
  <c r="H26" i="1"/>
  <c r="H24" i="1"/>
  <c r="H11" i="1"/>
  <c r="M57" i="1"/>
  <c r="M48" i="1"/>
  <c r="H21" i="1" l="1"/>
  <c r="M16" i="1"/>
  <c r="G46" i="1" l="1"/>
  <c r="H36" i="1" l="1"/>
  <c r="H8" i="1"/>
  <c r="R36" i="1" l="1"/>
  <c r="S36" i="1"/>
  <c r="R23" i="1"/>
  <c r="H14" i="1" l="1"/>
  <c r="R14" i="1" s="1"/>
  <c r="R24" i="1" l="1"/>
  <c r="H6" i="1" l="1"/>
  <c r="H150" i="1"/>
  <c r="H149" i="1"/>
  <c r="H100" i="1"/>
  <c r="H99" i="1"/>
  <c r="R27" i="1"/>
  <c r="I5" i="1"/>
  <c r="I15" i="1"/>
  <c r="I3" i="1" l="1"/>
  <c r="I36" i="1"/>
  <c r="H5" i="1" l="1"/>
  <c r="S5" i="1" s="1"/>
  <c r="H3" i="1"/>
  <c r="R25" i="1"/>
  <c r="R21" i="1"/>
  <c r="H130" i="1" l="1"/>
  <c r="H129" i="1"/>
  <c r="H31" i="1" l="1"/>
  <c r="S31" i="1" s="1"/>
  <c r="I31" i="1"/>
  <c r="R31" i="1" l="1"/>
  <c r="R26" i="1" l="1"/>
  <c r="I25" i="1" l="1"/>
  <c r="H74" i="1"/>
  <c r="H73" i="1"/>
  <c r="H16" i="1" l="1"/>
  <c r="M11" i="1" l="1"/>
  <c r="I29" i="1"/>
  <c r="I27" i="1"/>
  <c r="I26" i="1"/>
  <c r="I23" i="1"/>
  <c r="I21" i="1"/>
  <c r="I6" i="1" l="1"/>
  <c r="I22" i="1"/>
  <c r="I14" i="1"/>
  <c r="I8" i="1"/>
  <c r="I10" i="1"/>
  <c r="I11" i="1"/>
  <c r="I12" i="1"/>
  <c r="I16" i="1"/>
  <c r="H160" i="1" l="1"/>
  <c r="R5" i="1" l="1"/>
  <c r="H79" i="1" l="1"/>
  <c r="H78" i="1"/>
  <c r="Q43" i="1" l="1"/>
  <c r="Q44" i="1" s="1"/>
  <c r="S12" i="1" l="1"/>
  <c r="R7" i="1"/>
  <c r="S6" i="1"/>
  <c r="R12" i="1" l="1"/>
  <c r="R6" i="1"/>
  <c r="S7" i="1"/>
  <c r="S14" i="1"/>
  <c r="S26" i="1" l="1"/>
  <c r="R8" i="1" l="1"/>
  <c r="S8" i="1"/>
  <c r="S24" i="1" l="1"/>
  <c r="S3" i="1" l="1"/>
  <c r="R3" i="1"/>
  <c r="H46" i="1" l="1"/>
  <c r="H95" i="1" l="1"/>
  <c r="H155" i="1"/>
  <c r="H154" i="1"/>
  <c r="H140" i="1"/>
  <c r="H139" i="1"/>
  <c r="H135" i="1"/>
  <c r="H134" i="1"/>
  <c r="H115" i="1"/>
  <c r="H114" i="1"/>
  <c r="H110" i="1"/>
  <c r="H109" i="1"/>
  <c r="H120" i="1"/>
  <c r="H119" i="1"/>
  <c r="H125" i="1"/>
  <c r="H124" i="1"/>
  <c r="H105" i="1"/>
  <c r="H104" i="1"/>
  <c r="H94" i="1"/>
  <c r="H90" i="1"/>
  <c r="H84" i="1"/>
  <c r="H83" i="1"/>
  <c r="E43" i="1"/>
  <c r="E44" i="1" s="1"/>
  <c r="K43" i="1"/>
  <c r="L43" i="1"/>
  <c r="O43" i="1"/>
  <c r="O44" i="1" s="1"/>
  <c r="G60" i="1"/>
  <c r="G57" i="1"/>
  <c r="G54" i="1"/>
  <c r="G51" i="1"/>
  <c r="P43" i="1"/>
  <c r="F43" i="1"/>
  <c r="F44" i="1" s="1"/>
  <c r="G43" i="1"/>
  <c r="G44" i="1" s="1"/>
  <c r="N43" i="1"/>
  <c r="N44" i="1" s="1"/>
  <c r="F65" i="1"/>
  <c r="J43" i="1"/>
  <c r="W12" i="1" s="1"/>
  <c r="P44" i="1" l="1"/>
  <c r="I43" i="1"/>
  <c r="R29" i="1"/>
  <c r="S29" i="1"/>
  <c r="S27" i="1"/>
  <c r="S11" i="1"/>
  <c r="R11" i="1"/>
  <c r="S23" i="1"/>
  <c r="S25" i="1"/>
  <c r="S22" i="1"/>
  <c r="R22" i="1"/>
  <c r="R16" i="1"/>
  <c r="S16" i="1"/>
  <c r="R10" i="1"/>
  <c r="S10" i="1"/>
  <c r="R15" i="1"/>
  <c r="S15" i="1"/>
  <c r="S21" i="1"/>
  <c r="M43" i="1"/>
</calcChain>
</file>

<file path=xl/sharedStrings.xml><?xml version="1.0" encoding="utf-8"?>
<sst xmlns="http://schemas.openxmlformats.org/spreadsheetml/2006/main" count="274" uniqueCount="126">
  <si>
    <t>Name</t>
  </si>
  <si>
    <t>GP</t>
  </si>
  <si>
    <t>Goals</t>
  </si>
  <si>
    <t>Assists</t>
  </si>
  <si>
    <t>Points</t>
  </si>
  <si>
    <t>Shots</t>
  </si>
  <si>
    <t>Ground balls</t>
  </si>
  <si>
    <t>FOW</t>
  </si>
  <si>
    <t>Penalties</t>
  </si>
  <si>
    <t>Minutes</t>
  </si>
  <si>
    <t>Games Started</t>
  </si>
  <si>
    <t>Saves</t>
  </si>
  <si>
    <t xml:space="preserve">Team: </t>
  </si>
  <si>
    <t>Goals For</t>
  </si>
  <si>
    <t>Goals Against</t>
  </si>
  <si>
    <t>Total:</t>
  </si>
  <si>
    <t>Per Game:</t>
  </si>
  <si>
    <t>Record:</t>
  </si>
  <si>
    <t>Ties: 0</t>
  </si>
  <si>
    <t>Clears:</t>
  </si>
  <si>
    <t>Successful</t>
  </si>
  <si>
    <t>Unsuccessful</t>
  </si>
  <si>
    <t>Extra Man Opps:</t>
  </si>
  <si>
    <t>Scored</t>
  </si>
  <si>
    <t>Failed</t>
  </si>
  <si>
    <t>Opponents Extra Man Opps:</t>
  </si>
  <si>
    <t>FO Attempts</t>
  </si>
  <si>
    <t>Opponent Clears:</t>
  </si>
  <si>
    <t>FOW %</t>
  </si>
  <si>
    <t>Games</t>
  </si>
  <si>
    <t>Totals:</t>
  </si>
  <si>
    <t>Opponents penalties:</t>
  </si>
  <si>
    <t>Turnovers</t>
  </si>
  <si>
    <t>Jersey #</t>
  </si>
  <si>
    <t>Pos</t>
  </si>
  <si>
    <t>A</t>
  </si>
  <si>
    <t>M</t>
  </si>
  <si>
    <t>D</t>
  </si>
  <si>
    <t>G</t>
  </si>
  <si>
    <t>%</t>
  </si>
  <si>
    <t>#</t>
  </si>
  <si>
    <t>Time</t>
  </si>
  <si>
    <t>Games:</t>
  </si>
  <si>
    <t>Athens Drive</t>
  </si>
  <si>
    <t>1st</t>
  </si>
  <si>
    <t>2nd</t>
  </si>
  <si>
    <t>3rd</t>
  </si>
  <si>
    <t>4th</t>
  </si>
  <si>
    <t>Total</t>
  </si>
  <si>
    <t>T.O.P.</t>
  </si>
  <si>
    <t>Opponents turnovers:</t>
  </si>
  <si>
    <t>Shots on Goal:</t>
  </si>
  <si>
    <t>Opponents shots on goal:</t>
  </si>
  <si>
    <t>Saves per game played</t>
  </si>
  <si>
    <t>Productivity ratio</t>
  </si>
  <si>
    <t>Per Game Contribution</t>
  </si>
  <si>
    <t>Shots on goal</t>
  </si>
  <si>
    <t>Save %</t>
  </si>
  <si>
    <t>D/LSM</t>
  </si>
  <si>
    <t>Home</t>
  </si>
  <si>
    <t>Away</t>
  </si>
  <si>
    <t>Caused T.O</t>
  </si>
  <si>
    <t>Shot %</t>
  </si>
  <si>
    <t>Brower Evenhouse</t>
  </si>
  <si>
    <t>Liam Craig</t>
  </si>
  <si>
    <t>Position Rank</t>
  </si>
  <si>
    <t>Jack Danjczek</t>
  </si>
  <si>
    <t>Owen Honnold</t>
  </si>
  <si>
    <t>Jay Cohn</t>
  </si>
  <si>
    <t>Green Hope</t>
  </si>
  <si>
    <t>Sanderson</t>
  </si>
  <si>
    <t>Enloe</t>
  </si>
  <si>
    <t>Bradyn Evans</t>
  </si>
  <si>
    <t>Harrison Baublitz</t>
  </si>
  <si>
    <t>Jack Thompson</t>
  </si>
  <si>
    <t>Cardinal Gibbons</t>
  </si>
  <si>
    <t>Broughton</t>
  </si>
  <si>
    <t>Leesville</t>
  </si>
  <si>
    <t>Team</t>
  </si>
  <si>
    <t>Nathan Le Strat</t>
  </si>
  <si>
    <t>Reiter Healey</t>
  </si>
  <si>
    <t>Ryan Kuppler</t>
  </si>
  <si>
    <t>Hayes Clayton</t>
  </si>
  <si>
    <t>Rashidi Abdul Rashid</t>
  </si>
  <si>
    <t>Danny Gelsinger</t>
  </si>
  <si>
    <t>Andrew Moore</t>
  </si>
  <si>
    <t>Brandon Patterson</t>
  </si>
  <si>
    <t>East Chapel Hill</t>
  </si>
  <si>
    <t>Apex</t>
  </si>
  <si>
    <t>Green Level</t>
  </si>
  <si>
    <t>Neutral</t>
  </si>
  <si>
    <t xml:space="preserve">Athens Drive </t>
  </si>
  <si>
    <t>Michael Wirt</t>
  </si>
  <si>
    <t>Cole Andrews</t>
  </si>
  <si>
    <t>Holt Evenhouse</t>
  </si>
  <si>
    <t>Will Hofheimer</t>
  </si>
  <si>
    <t>Justin Stanert</t>
  </si>
  <si>
    <t>Gabe Sell</t>
  </si>
  <si>
    <t>Ben Boshoff</t>
  </si>
  <si>
    <t xml:space="preserve">D </t>
  </si>
  <si>
    <t>Greyson Deak</t>
  </si>
  <si>
    <t>Tripp Burney</t>
  </si>
  <si>
    <t>Colton Washburn</t>
  </si>
  <si>
    <t>Northwood</t>
  </si>
  <si>
    <t>Cary</t>
  </si>
  <si>
    <t>Wakefield</t>
  </si>
  <si>
    <t>Panther Creek</t>
  </si>
  <si>
    <t>Providence</t>
  </si>
  <si>
    <t>Cradinal Gibbons</t>
  </si>
  <si>
    <t>Northern Durham</t>
  </si>
  <si>
    <t>Will Yunker</t>
  </si>
  <si>
    <t>Mike Shook</t>
  </si>
  <si>
    <t>Dylan Dossary</t>
  </si>
  <si>
    <t>Sam Brewer</t>
  </si>
  <si>
    <t>Peirson Gard</t>
  </si>
  <si>
    <t>Tymon Kozlowski</t>
  </si>
  <si>
    <t>Eren Cantekin</t>
  </si>
  <si>
    <t>Sasha Stalhamer</t>
  </si>
  <si>
    <t>Wins: 13</t>
  </si>
  <si>
    <t>OT</t>
  </si>
  <si>
    <t>Losses: 8</t>
  </si>
  <si>
    <t>Holly Springs</t>
  </si>
  <si>
    <t>GBs</t>
  </si>
  <si>
    <t>D-GBs</t>
  </si>
  <si>
    <t>CTO</t>
  </si>
  <si>
    <t>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</si>
</sst>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C00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center"/>
    </xf>
    <xf numFmtId="46" fontId="0" fillId="0" borderId="0" xfId="0" applyNumberFormat="1"/>
    <xf numFmtId="0" fontId="0" fillId="0" borderId="1" xfId="0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/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20" fontId="0" fillId="0" borderId="0" xfId="0" applyNumberFormat="1" applyAlignment="1">
      <alignment horizontal="center"/>
    </xf>
    <xf numFmtId="20" fontId="0" fillId="0" borderId="0" xfId="0" applyNumberFormat="1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2" fontId="0" fillId="2" borderId="0" xfId="0" applyNumberFormat="1" applyFill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0" xfId="0" applyAlignment="1">
      <alignment horizontal="right"/>
    </xf>
    <xf numFmtId="164" fontId="0" fillId="0" borderId="0" xfId="1" applyNumberFormat="1" applyFont="1"/>
    <xf numFmtId="10" fontId="0" fillId="0" borderId="0" xfId="1" applyNumberFormat="1" applyFont="1"/>
    <xf numFmtId="164" fontId="2" fillId="0" borderId="4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0" borderId="0" xfId="0" quotePrefix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 vertical="center"/>
    </xf>
    <xf numFmtId="164" fontId="1" fillId="0" borderId="0" xfId="1" applyNumberFormat="1" applyFont="1" applyAlignment="1">
      <alignment horizontal="center"/>
    </xf>
    <xf numFmtId="164" fontId="0" fillId="0" borderId="1" xfId="1" applyNumberFormat="1" applyFont="1" applyBorder="1" applyAlignment="1">
      <alignment horizontal="center" vertical="center"/>
    </xf>
    <xf numFmtId="0" fontId="0" fillId="0" borderId="1" xfId="0" applyBorder="1"/>
    <xf numFmtId="164" fontId="2" fillId="0" borderId="0" xfId="1" applyNumberFormat="1" applyFont="1" applyAlignment="1">
      <alignment horizontal="center"/>
    </xf>
    <xf numFmtId="164" fontId="0" fillId="0" borderId="0" xfId="1" applyNumberFormat="1" applyFont="1" applyFill="1" applyBorder="1"/>
    <xf numFmtId="164" fontId="0" fillId="0" borderId="1" xfId="1" applyNumberFormat="1" applyFont="1" applyBorder="1"/>
    <xf numFmtId="0" fontId="0" fillId="0" borderId="0" xfId="0" applyAlignment="1">
      <alignment horizontal="center" vertical="center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29292"/>
      <color rgb="FFD5FC79"/>
      <color rgb="FFFF2600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87"/>
  <sheetViews>
    <sheetView tabSelected="1" workbookViewId="0">
      <selection activeCell="R1" sqref="R1:W1048576"/>
    </sheetView>
  </sheetViews>
  <sheetFormatPr baseColWidth="10" defaultColWidth="8.83203125" defaultRowHeight="15" x14ac:dyDescent="0.2"/>
  <cols>
    <col min="1" max="1" width="9.6640625" style="10" bestFit="1" customWidth="1"/>
    <col min="2" max="2" width="5.83203125" style="10" customWidth="1"/>
    <col min="3" max="3" width="20.5" customWidth="1"/>
    <col min="4" max="5" width="11.5" customWidth="1"/>
    <col min="6" max="6" width="10.5" customWidth="1"/>
    <col min="8" max="8" width="10.6640625" bestFit="1" customWidth="1"/>
    <col min="9" max="9" width="10.5" customWidth="1"/>
    <col min="10" max="10" width="10.83203125" customWidth="1"/>
    <col min="11" max="11" width="10.5" customWidth="1"/>
    <col min="16" max="16" width="9.6640625" style="10" customWidth="1"/>
    <col min="17" max="17" width="8.83203125" style="10"/>
    <col min="18" max="18" width="11.5" style="10" hidden="1" customWidth="1"/>
    <col min="19" max="19" width="13.6640625" style="10" hidden="1" customWidth="1"/>
    <col min="20" max="20" width="0" style="10" hidden="1" customWidth="1"/>
    <col min="21" max="23" width="0" hidden="1" customWidth="1"/>
  </cols>
  <sheetData>
    <row r="2" spans="1:23" ht="27" x14ac:dyDescent="0.2">
      <c r="A2" s="15" t="s">
        <v>33</v>
      </c>
      <c r="B2" s="15" t="s">
        <v>34</v>
      </c>
      <c r="C2" s="1" t="s">
        <v>0</v>
      </c>
      <c r="D2" s="1" t="s">
        <v>1</v>
      </c>
      <c r="E2" s="1" t="s">
        <v>5</v>
      </c>
      <c r="F2" s="1" t="s">
        <v>2</v>
      </c>
      <c r="G2" s="1" t="s">
        <v>3</v>
      </c>
      <c r="H2" s="1" t="s">
        <v>4</v>
      </c>
      <c r="I2" s="1" t="s">
        <v>62</v>
      </c>
      <c r="J2" s="1" t="s">
        <v>6</v>
      </c>
      <c r="K2" s="1" t="s">
        <v>26</v>
      </c>
      <c r="L2" s="1" t="s">
        <v>7</v>
      </c>
      <c r="M2" s="1" t="s">
        <v>28</v>
      </c>
      <c r="N2" s="1" t="s">
        <v>8</v>
      </c>
      <c r="O2" s="1" t="s">
        <v>9</v>
      </c>
      <c r="P2" s="1" t="s">
        <v>32</v>
      </c>
      <c r="Q2" s="1" t="s">
        <v>61</v>
      </c>
      <c r="R2" s="28" t="s">
        <v>54</v>
      </c>
      <c r="S2" s="28" t="s">
        <v>55</v>
      </c>
      <c r="T2" s="28" t="s">
        <v>65</v>
      </c>
    </row>
    <row r="3" spans="1:23" x14ac:dyDescent="0.2">
      <c r="A3" s="10">
        <v>2</v>
      </c>
      <c r="B3" s="10" t="s">
        <v>35</v>
      </c>
      <c r="C3" t="s">
        <v>81</v>
      </c>
      <c r="D3" s="10">
        <v>21</v>
      </c>
      <c r="E3" s="10">
        <f>4+4+6+1+13+2+5+1+3+14+1+2+8+3+5+5+6+5+2+4+2</f>
        <v>96</v>
      </c>
      <c r="F3" s="10">
        <f>2+0+2+1+5+1+0+1+0+7+1+1+4+0+2+2+0+2+1+2+0</f>
        <v>34</v>
      </c>
      <c r="G3" s="10">
        <f>1+1+0+0+3+1+0+2+0+0+0+2+1+1+0+0+1+0+1+0+1</f>
        <v>15</v>
      </c>
      <c r="H3" s="10">
        <f>F3+G3</f>
        <v>49</v>
      </c>
      <c r="I3" s="26">
        <f>F3/E3</f>
        <v>0.35416666666666669</v>
      </c>
      <c r="J3" s="10">
        <f>3+1+4+1+3+2+4+5+2+4+0+1+5+2+1+4+1+6+0+2+2</f>
        <v>53</v>
      </c>
      <c r="K3" s="10"/>
      <c r="L3" s="10"/>
      <c r="M3" s="10"/>
      <c r="N3" s="10">
        <f>0+0+1+0+0+0+0+1+0+0+0+0+0+0+2+2+0+0+1+2+0</f>
        <v>9</v>
      </c>
      <c r="O3" s="27">
        <f>0+0+0.5+0+0+0+0+0.5+0+0+0+0+0+0+0+1+0+0+5+1.5+0</f>
        <v>8.5</v>
      </c>
      <c r="P3" s="10">
        <f>4+6+5+2+2+1+0+0+5+1+2+6+1+1+5+1+0+3+2+2+1</f>
        <v>50</v>
      </c>
      <c r="Q3" s="10">
        <f>0+3+1+1+2+1+1+0+2+2+0+0+3+1+0+1+0+2+0+1+0</f>
        <v>21</v>
      </c>
      <c r="R3" s="37">
        <f>(J3+H3+Q3)/(N3+P3)</f>
        <v>2.0847457627118646</v>
      </c>
      <c r="S3" s="37">
        <f t="shared" ref="S3:S31" si="0">(H3+J3+Q3-N3-P3)/D3</f>
        <v>3.0476190476190474</v>
      </c>
      <c r="T3" s="40">
        <v>3</v>
      </c>
    </row>
    <row r="4" spans="1:23" x14ac:dyDescent="0.2">
      <c r="A4" s="10">
        <v>3</v>
      </c>
      <c r="B4" s="10" t="s">
        <v>35</v>
      </c>
      <c r="C4" t="s">
        <v>93</v>
      </c>
      <c r="D4" s="10">
        <v>8</v>
      </c>
      <c r="E4" s="10">
        <f>0+0+0+0+0+0+0+0+0+0+0+0+6+0+0+0+0+0+0+0+0</f>
        <v>6</v>
      </c>
      <c r="F4" s="10">
        <f>0+0+0+0+0+0+0+0+0+0+0+0+1+0+0+0+0+0+0+0+0</f>
        <v>1</v>
      </c>
      <c r="G4" s="10">
        <f>0+0+0+0+0+0+0+0+0+0+0+0+0+0+0+0+0+0+0+0+0</f>
        <v>0</v>
      </c>
      <c r="H4" s="10">
        <f>F4+G4</f>
        <v>1</v>
      </c>
      <c r="I4" s="26">
        <f>F4/E4</f>
        <v>0.16666666666666666</v>
      </c>
      <c r="J4" s="10">
        <f>0+0+0+0+0+0+0+0+0+0+0+0+1+0+0+0+0+0+0+0+0</f>
        <v>1</v>
      </c>
      <c r="K4" s="10"/>
      <c r="L4" s="10"/>
      <c r="M4" s="10"/>
      <c r="N4" s="10">
        <f>0+0+0+0+0+0+0+0+0+0+0+0+0+0+0+0+0+0+0+0+0</f>
        <v>0</v>
      </c>
      <c r="O4" s="27">
        <f>0+0+0+0+0+0+0+0+0+0+0+0+0+0+0+0+0+0+0+0+0</f>
        <v>0</v>
      </c>
      <c r="P4" s="10">
        <f>0+0+1+0+1+2+0+0+0+0+0+0+1+0+0+0+0+0+0+0+0</f>
        <v>5</v>
      </c>
      <c r="Q4" s="10">
        <f>0+0+0+0+0+0+0+0+0+0+0+0+0+0+0+0+0+0+0+0+0</f>
        <v>0</v>
      </c>
      <c r="R4" s="49">
        <f>(J4+H4+Q4)/(N4+P4)</f>
        <v>0.4</v>
      </c>
      <c r="S4" s="49">
        <f t="shared" si="0"/>
        <v>-0.375</v>
      </c>
      <c r="T4" s="40">
        <v>4</v>
      </c>
    </row>
    <row r="5" spans="1:23" x14ac:dyDescent="0.2">
      <c r="A5" s="10">
        <v>9</v>
      </c>
      <c r="B5" s="10" t="s">
        <v>35</v>
      </c>
      <c r="C5" t="s">
        <v>68</v>
      </c>
      <c r="D5" s="10">
        <v>21</v>
      </c>
      <c r="E5" s="10">
        <f>9+8+7+8+10+9+15+15+15+12+7+13+4+7+7+9+14+7+5+13+15</f>
        <v>209</v>
      </c>
      <c r="F5" s="10">
        <f>6+4+3+6+7+4+7+9+5+7+2+7+3+3+3+3+8+3+2+6+6</f>
        <v>104</v>
      </c>
      <c r="G5" s="10">
        <f>2+0+2+1+3+4+2+1+2+3+0+1+4+3+6+4+4+4+0+0+2</f>
        <v>48</v>
      </c>
      <c r="H5" s="10">
        <f>F5+G5</f>
        <v>152</v>
      </c>
      <c r="I5" s="26">
        <f>F5/E5</f>
        <v>0.49760765550239233</v>
      </c>
      <c r="J5" s="10">
        <f>8+3+2+3+3+1+3+5+3+6+2+5+0+0+2+5+0+3+1+3+1</f>
        <v>59</v>
      </c>
      <c r="K5" s="10"/>
      <c r="L5" s="10"/>
      <c r="M5" s="10"/>
      <c r="N5" s="10">
        <f>0+2+1+2+1+1+1+0+1+0+0+1+0+0+2+0+0+1+2+0+3</f>
        <v>18</v>
      </c>
      <c r="O5" s="27">
        <f>0+1.5+1+2+2+1+1+0+1+0+0+1+0+0+1.5+0+0+1+1.5+0+2.5</f>
        <v>17</v>
      </c>
      <c r="P5" s="10">
        <f>0+0+0+1+0+0+0+1+1+1+2+1+0+1+0+1+1+0+1+0+0</f>
        <v>11</v>
      </c>
      <c r="Q5" s="10">
        <f>1+3+2+0+2+0+1+0+2+1+0+0+1+0+0+0+0+1+1+0+0</f>
        <v>15</v>
      </c>
      <c r="R5" s="37">
        <f>(J5+H5+Q5)/(N5+P5)</f>
        <v>7.7931034482758621</v>
      </c>
      <c r="S5" s="37">
        <f>(H5+J5+Q5-N5-P5)/D5</f>
        <v>9.3809523809523814</v>
      </c>
      <c r="T5" s="40">
        <v>1</v>
      </c>
    </row>
    <row r="6" spans="1:23" x14ac:dyDescent="0.2">
      <c r="A6" s="10">
        <v>16</v>
      </c>
      <c r="B6" s="10" t="s">
        <v>35</v>
      </c>
      <c r="C6" t="s">
        <v>73</v>
      </c>
      <c r="D6" s="10">
        <v>21</v>
      </c>
      <c r="E6" s="10">
        <f>6+1+5+5+5+4+4+5+6+2+1+2+8+4+7+6+6+8+0+3+1</f>
        <v>89</v>
      </c>
      <c r="F6" s="10">
        <f>4+0+0+0+1+1+1+2+1+2+1+1+2+2+4+2+4+0+0+0+0</f>
        <v>28</v>
      </c>
      <c r="G6" s="10">
        <f>1+0+1+1+3+3+1+0+0+2+1+0+4+1+1+2+1+1+0+0+2</f>
        <v>25</v>
      </c>
      <c r="H6" s="10">
        <f>F6+G6</f>
        <v>53</v>
      </c>
      <c r="I6" s="26">
        <f t="shared" ref="I6:I33" si="1">F6/E6</f>
        <v>0.3146067415730337</v>
      </c>
      <c r="J6" s="10">
        <f>3+4+5+0+4+2+2+1+3+5+3+4+6+7+6+1+3+1+0+1+1</f>
        <v>62</v>
      </c>
      <c r="K6" s="10"/>
      <c r="L6" s="10"/>
      <c r="M6" s="10"/>
      <c r="N6" s="10">
        <f>0+0+0+0+1+0+0+1+0+1+0+0+0+1+1+1+0+0+0+0+0</f>
        <v>6</v>
      </c>
      <c r="O6" s="27">
        <f>0+0+0+0+1+0+0+0.5+0+2+0+0+0+1+1+0.5+0+0+0+0+0</f>
        <v>6</v>
      </c>
      <c r="P6" s="10">
        <f>1+1+2+1+1+3+2+0+3+1+2+5+1+1+0+1+2+1+1+1+1</f>
        <v>31</v>
      </c>
      <c r="Q6" s="10">
        <f>0+0+1+0+0+0+0+0+0+1+0+1+4+0+2+0+0+0+0+0+0</f>
        <v>9</v>
      </c>
      <c r="R6" s="37">
        <f t="shared" ref="R6:R31" si="2">(J6+H6+Q6)/(N6+P6)</f>
        <v>3.3513513513513513</v>
      </c>
      <c r="S6" s="37">
        <f t="shared" si="0"/>
        <v>4.1428571428571432</v>
      </c>
      <c r="T6" s="40">
        <v>2</v>
      </c>
      <c r="V6" s="44"/>
    </row>
    <row r="7" spans="1:23" x14ac:dyDescent="0.2">
      <c r="A7" s="10">
        <v>1</v>
      </c>
      <c r="B7" s="10" t="s">
        <v>36</v>
      </c>
      <c r="C7" t="s">
        <v>74</v>
      </c>
      <c r="D7" s="10">
        <v>20</v>
      </c>
      <c r="E7" s="10">
        <f>0+0+1+0+0+1+0+0+0+1+0+0+2+0+0+1+1+0+0+1+0</f>
        <v>8</v>
      </c>
      <c r="F7" s="10">
        <f>0+0+1+0+0+0+0+0+0+0+0+0+2+0+0+1+0+0+0+0+0</f>
        <v>4</v>
      </c>
      <c r="G7" s="10">
        <f>0+0+0+0+0+0+0+0+0+0+0+0+0+0+0+0+0+1+0+0+0</f>
        <v>1</v>
      </c>
      <c r="H7" s="10">
        <f>F7+G7</f>
        <v>5</v>
      </c>
      <c r="I7" s="26">
        <f>F7/E7</f>
        <v>0.5</v>
      </c>
      <c r="J7" s="10">
        <f>0+2+7+2+2+0+3+0+0+6+1+1+3+3+0+0+2+3+1+2+0</f>
        <v>38</v>
      </c>
      <c r="K7" s="10"/>
      <c r="L7" s="10"/>
      <c r="M7" s="10"/>
      <c r="N7" s="10">
        <f>0+0+0+1+0+0+0+0+0+0+0+0+0+0+0+0+0+0+0+0+0</f>
        <v>1</v>
      </c>
      <c r="O7" s="27">
        <f>0+0+0+1+0+0+0+0+0+0+0+0+0+0+0+0+0+0+0+0+0</f>
        <v>1</v>
      </c>
      <c r="P7" s="10">
        <f>1+1+0+0+1+0+2+0+1+2+0+0+1+1+0+1+0+0+0+1+0</f>
        <v>12</v>
      </c>
      <c r="Q7" s="10">
        <f>0+0+0+1+0+0+1+0+0+0+0+0+2+0+0+0+1+0+0+0+0</f>
        <v>5</v>
      </c>
      <c r="R7" s="37">
        <f t="shared" si="2"/>
        <v>3.6923076923076925</v>
      </c>
      <c r="S7" s="37">
        <f t="shared" si="0"/>
        <v>1.75</v>
      </c>
      <c r="T7" s="10">
        <v>1</v>
      </c>
      <c r="U7" s="43"/>
      <c r="V7" s="44"/>
      <c r="W7" s="45"/>
    </row>
    <row r="8" spans="1:23" x14ac:dyDescent="0.2">
      <c r="A8" s="10">
        <v>4</v>
      </c>
      <c r="B8" s="10" t="s">
        <v>36</v>
      </c>
      <c r="C8" t="s">
        <v>82</v>
      </c>
      <c r="D8" s="10">
        <v>21</v>
      </c>
      <c r="E8" s="10">
        <f>1+1+1+0+0+3+1+2+1+2+0+0+1+2+2+3+0+1+0+1+0</f>
        <v>22</v>
      </c>
      <c r="F8" s="10">
        <f>1+0+0+0+0+1+0+0+0+0+0+0+0+1+2+2+0+0+0+0+0</f>
        <v>7</v>
      </c>
      <c r="G8" s="10">
        <f>1+0+1+0+1+0+0+0+0+0+0+0+0+0+1+1+2+1+0+0+0</f>
        <v>8</v>
      </c>
      <c r="H8" s="10">
        <f t="shared" ref="H8:H14" si="3">F8+G8</f>
        <v>15</v>
      </c>
      <c r="I8" s="26">
        <f t="shared" si="1"/>
        <v>0.31818181818181818</v>
      </c>
      <c r="J8" s="10">
        <f>3+3+0+1+3+0+0+1+2+1+0+2+0+2+2+2+1+2+0+1+0</f>
        <v>26</v>
      </c>
      <c r="K8" s="10"/>
      <c r="L8" s="10"/>
      <c r="M8" s="26"/>
      <c r="N8" s="10">
        <f>0+0+0+1+0+0+0+0+1+0+0+0+0+0+0+0+0+0+0+2+0</f>
        <v>4</v>
      </c>
      <c r="O8" s="27">
        <f>0+0+0+0.5+0+0+0+0+0.5+0+0+0+0+0+0+0+0+0+0+2+0</f>
        <v>3</v>
      </c>
      <c r="P8" s="10">
        <f>1+1+0+1+1+0+1+1+0+0+1+2+1+2+0+3+0+2+0+0+1</f>
        <v>18</v>
      </c>
      <c r="Q8" s="10">
        <f>0+0+0+0+0+0+0+1+1+0+0+0+0+0+0+0+0+0+0+0+0</f>
        <v>2</v>
      </c>
      <c r="R8" s="37">
        <f t="shared" si="2"/>
        <v>1.9545454545454546</v>
      </c>
      <c r="S8" s="37">
        <f t="shared" si="0"/>
        <v>1</v>
      </c>
      <c r="T8" s="39">
        <v>4</v>
      </c>
      <c r="U8" s="43"/>
      <c r="V8" s="44" t="s">
        <v>2</v>
      </c>
      <c r="W8" s="44">
        <f>(F4+F5+F6+F8+F9+F10+F14+F15+F18+F24)/F43</f>
        <v>0.69811320754716977</v>
      </c>
    </row>
    <row r="9" spans="1:23" x14ac:dyDescent="0.2">
      <c r="A9" s="10">
        <v>5</v>
      </c>
      <c r="B9" s="10" t="s">
        <v>36</v>
      </c>
      <c r="C9" t="s">
        <v>94</v>
      </c>
      <c r="D9" s="10">
        <v>11</v>
      </c>
      <c r="E9" s="10">
        <f>0+0+0+0+2+0+0+0+1+0+0+0+1+0+0+2+1+0+0+0+0</f>
        <v>7</v>
      </c>
      <c r="F9" s="10">
        <f>0+0+0+0+0+0+0+0+0+0+0+0+1+0+0+0+1+0+0+0+0</f>
        <v>2</v>
      </c>
      <c r="G9" s="10">
        <f>0+0+0+0+0+0+0+0+0+0+0+0+2+0+0+0+0+0+0+0+0</f>
        <v>2</v>
      </c>
      <c r="H9" s="10">
        <f>F9+G9</f>
        <v>4</v>
      </c>
      <c r="I9" s="26">
        <f t="shared" si="1"/>
        <v>0.2857142857142857</v>
      </c>
      <c r="J9" s="10">
        <f>0+0+0+0+2+0+0+0+0+0+0+0+4+0+0+0+0+0+0+0+0</f>
        <v>6</v>
      </c>
      <c r="K9" s="10"/>
      <c r="L9" s="10"/>
      <c r="M9" s="26"/>
      <c r="N9" s="10">
        <f>0+0+0+0+0+0+0+0+0+0+0+0+0+0+0+0+0+0+0+0+0</f>
        <v>0</v>
      </c>
      <c r="O9" s="27">
        <f>0+0+0+0+0+0+0+0+0+0+0+0+0+0+0+0+0+0+0+0+0</f>
        <v>0</v>
      </c>
      <c r="P9" s="10">
        <f>0+0+0+0+0+1+0+1+1+0+0+0+0+0+0+0+1+0+0+0+0</f>
        <v>4</v>
      </c>
      <c r="Q9" s="10">
        <f>0+0+0+0+1+0+0+0+0+0+0+0+0+0+0+0+1+0+0+0+0</f>
        <v>2</v>
      </c>
      <c r="R9" s="37">
        <f t="shared" si="2"/>
        <v>3</v>
      </c>
      <c r="S9" s="37">
        <f t="shared" si="0"/>
        <v>0.72727272727272729</v>
      </c>
      <c r="T9" s="39">
        <v>5</v>
      </c>
      <c r="U9" s="43"/>
      <c r="V9" s="44" t="s">
        <v>3</v>
      </c>
      <c r="W9" s="44">
        <f>(G5+G6+G8+G9+G10+G14+G29)/G43</f>
        <v>0.71126760563380287</v>
      </c>
    </row>
    <row r="10" spans="1:23" x14ac:dyDescent="0.2">
      <c r="A10" s="10">
        <v>6</v>
      </c>
      <c r="B10" s="10" t="s">
        <v>36</v>
      </c>
      <c r="C10" t="s">
        <v>66</v>
      </c>
      <c r="D10" s="10">
        <v>20</v>
      </c>
      <c r="E10" s="10">
        <f>3+0+6+4+5+5+4+4+1+0+4+9+5+3+5+6+6+10+3+6+8</f>
        <v>97</v>
      </c>
      <c r="F10" s="10">
        <f>1+0+3+1+0+3+1+2+1+0+0+2+2+1+2+3+3+3+1+0+2</f>
        <v>31</v>
      </c>
      <c r="G10" s="10">
        <f>1+1+0+0+2+2+2+1+1+0+0+1+0+0+0+1+1+0+0+1+1</f>
        <v>15</v>
      </c>
      <c r="H10" s="10">
        <f t="shared" si="3"/>
        <v>46</v>
      </c>
      <c r="I10" s="26">
        <f t="shared" si="1"/>
        <v>0.31958762886597936</v>
      </c>
      <c r="J10" s="10">
        <f>2+3+2+2+6+2+4+2+0+0+3+2+1+3+2+3+3+7+0+3+3</f>
        <v>53</v>
      </c>
      <c r="N10" s="10">
        <f>1+2+1+1+1+0+1+0+2+0+1+0+0+1+1+0+0+2+1+0+1</f>
        <v>16</v>
      </c>
      <c r="O10" s="27">
        <f>1+2.5+2+1+1+0+1+0+4+0+1+0+0+1+1+0+0+2+1+0+1</f>
        <v>19.5</v>
      </c>
      <c r="P10" s="10">
        <f>2+2+2+3+2+3+3+0+0+0+0+2+0+2+5+1+1+1+0+4+2</f>
        <v>35</v>
      </c>
      <c r="Q10" s="10">
        <f>1+0+0+1+0+1+0+0+0+0+2+1+0+1+0+2+0+2+0+1+0</f>
        <v>12</v>
      </c>
      <c r="R10" s="37">
        <f t="shared" si="2"/>
        <v>2.1764705882352939</v>
      </c>
      <c r="S10" s="37">
        <f t="shared" si="0"/>
        <v>3</v>
      </c>
      <c r="T10" s="39">
        <v>2</v>
      </c>
      <c r="U10" s="43"/>
      <c r="V10" t="s">
        <v>4</v>
      </c>
      <c r="W10" s="44">
        <f>(H4+H5+H6+H8+H9+H10+H14+H15+H18+H24+H29)/(F43+G43)</f>
        <v>0.70270270270270274</v>
      </c>
    </row>
    <row r="11" spans="1:23" x14ac:dyDescent="0.2">
      <c r="A11" s="10">
        <v>7</v>
      </c>
      <c r="B11" s="10" t="s">
        <v>36</v>
      </c>
      <c r="C11" t="s">
        <v>63</v>
      </c>
      <c r="D11" s="10">
        <v>21</v>
      </c>
      <c r="E11" s="10">
        <f>7+7+9+7+10+8+7+5+12+13+7+5+3+9+8+6+4+5+4+4+14</f>
        <v>154</v>
      </c>
      <c r="F11" s="10">
        <f>1+1+3+1+2+6+1+1+0+2+1+1+0+1+5+3+3+3+1+1+4</f>
        <v>41</v>
      </c>
      <c r="G11" s="10">
        <f>4+2+0+0+1+0+0+3+1+1+0+1+2+0+1+3+1+1+0+2+0</f>
        <v>23</v>
      </c>
      <c r="H11" s="10">
        <f t="shared" si="3"/>
        <v>64</v>
      </c>
      <c r="I11" s="26">
        <f t="shared" si="1"/>
        <v>0.26623376623376621</v>
      </c>
      <c r="J11" s="10">
        <f>2+3+0+0+2+2+4+4+3+5+2+3+2+5+3+6+4+8+5+2+2</f>
        <v>67</v>
      </c>
      <c r="K11" s="10">
        <f>2+0+1+2+0+2+6+0+0+0+0+0+0+0+1+0</f>
        <v>14</v>
      </c>
      <c r="L11" s="10">
        <f>2+0+1+2+0+2+1+0+0+0+0+0+0+0+1+0</f>
        <v>9</v>
      </c>
      <c r="M11" s="26">
        <f>L11/K11</f>
        <v>0.6428571428571429</v>
      </c>
      <c r="N11" s="10">
        <f>0+1+0+1+0+0+0+0+1+0+0+0+0+0+0+0+0+0+0+0+0</f>
        <v>3</v>
      </c>
      <c r="O11" s="27">
        <f>0+1+0+1+0+0+0+0+1+0+0+0+0+0+0+0+0+0+0+0+0</f>
        <v>3</v>
      </c>
      <c r="P11" s="10">
        <f>2+3+4+2+1+0+3+1+2+1+1+2+2+2+0+0+1+4+2+3+3</f>
        <v>39</v>
      </c>
      <c r="Q11" s="10">
        <f>3+3+0+0+0+1+0+1+1+2+0+2+2+0+0+3+1+1+0+1+0</f>
        <v>21</v>
      </c>
      <c r="R11" s="37">
        <f t="shared" si="2"/>
        <v>3.6190476190476191</v>
      </c>
      <c r="S11" s="37">
        <f t="shared" si="0"/>
        <v>5.2380952380952381</v>
      </c>
      <c r="T11" s="39">
        <v>1</v>
      </c>
      <c r="V11" s="44"/>
      <c r="W11" s="44"/>
    </row>
    <row r="12" spans="1:23" x14ac:dyDescent="0.2">
      <c r="A12" s="10">
        <v>11</v>
      </c>
      <c r="B12" s="10" t="s">
        <v>36</v>
      </c>
      <c r="C12" t="s">
        <v>95</v>
      </c>
      <c r="D12" s="10">
        <v>16</v>
      </c>
      <c r="E12" s="10">
        <f>0+0+0+0+0+0+0+0+1+0+0+0+1+0+1+1+0+0+0+0+0</f>
        <v>4</v>
      </c>
      <c r="F12" s="10">
        <f>0+0+0+0+0+0+0+0+0+0+0+0+0+0+0+0+0+0+0+0+0</f>
        <v>0</v>
      </c>
      <c r="G12" s="10">
        <f>0+0+0+0+0+0+0+0+0+0+0+0+1+0+0+0+0+0+0+0+0</f>
        <v>1</v>
      </c>
      <c r="H12" s="10">
        <f>F12+G12</f>
        <v>1</v>
      </c>
      <c r="I12" s="26">
        <f t="shared" si="1"/>
        <v>0</v>
      </c>
      <c r="J12" s="10">
        <f>0+0+1+0+3+2+0+0+1+2+0+0+3+1+2+1+0+0+0+1+0</f>
        <v>17</v>
      </c>
      <c r="K12" s="10"/>
      <c r="L12" s="10"/>
      <c r="M12" s="26"/>
      <c r="N12" s="10">
        <f>0+0+0+0+0+0+0+0+0+0+0+0+0+0+0+0+0+0+0+0+0</f>
        <v>0</v>
      </c>
      <c r="O12" s="27">
        <f>0+0+0+0+0+0+0+0+0+0+0+0+0+0+0+0+0+0+0+0+0</f>
        <v>0</v>
      </c>
      <c r="P12" s="10">
        <f>0+0+1+0+0+1+0+0+0+2+0+0+0+0+0+1+0+0+0+0+0</f>
        <v>5</v>
      </c>
      <c r="Q12" s="10">
        <f>0+0+0+0+0+0+0+0+0+0+0+0+1+0+0+0+0+0+0+0+0</f>
        <v>1</v>
      </c>
      <c r="R12" s="37">
        <f t="shared" si="2"/>
        <v>3.8</v>
      </c>
      <c r="S12" s="37">
        <f t="shared" si="0"/>
        <v>0.875</v>
      </c>
      <c r="T12" s="10">
        <v>2</v>
      </c>
      <c r="V12" s="44" t="s">
        <v>122</v>
      </c>
      <c r="W12" s="44">
        <f>(J4+J5+J6+J8+J9+J10+J14+J15+J17+J18+J19+J22+J24+J26+J27+J28+J29+J36+J37+J38)/J43</f>
        <v>0.551219512195122</v>
      </c>
    </row>
    <row r="13" spans="1:23" x14ac:dyDescent="0.2">
      <c r="A13" s="10">
        <v>13</v>
      </c>
      <c r="B13" s="10" t="s">
        <v>36</v>
      </c>
      <c r="C13" t="s">
        <v>110</v>
      </c>
      <c r="D13" s="10">
        <v>1</v>
      </c>
      <c r="E13" s="10">
        <f>0+0</f>
        <v>0</v>
      </c>
      <c r="F13" s="10">
        <f>0+0</f>
        <v>0</v>
      </c>
      <c r="G13" s="10">
        <f>0+0</f>
        <v>0</v>
      </c>
      <c r="H13" s="10">
        <f>F13+G13</f>
        <v>0</v>
      </c>
      <c r="I13" s="26" t="e">
        <f t="shared" si="1"/>
        <v>#DIV/0!</v>
      </c>
      <c r="J13" s="10">
        <f>0+0</f>
        <v>0</v>
      </c>
      <c r="K13" s="10"/>
      <c r="L13" s="10"/>
      <c r="M13" s="26"/>
      <c r="N13" s="10">
        <f>0+0</f>
        <v>0</v>
      </c>
      <c r="O13" s="27">
        <f>0+0</f>
        <v>0</v>
      </c>
      <c r="P13" s="10">
        <f>0+0</f>
        <v>0</v>
      </c>
      <c r="Q13" s="10">
        <f>0+1</f>
        <v>1</v>
      </c>
      <c r="R13" s="27" t="e">
        <f t="shared" si="2"/>
        <v>#DIV/0!</v>
      </c>
      <c r="S13" s="27">
        <f t="shared" si="0"/>
        <v>1</v>
      </c>
    </row>
    <row r="14" spans="1:23" x14ac:dyDescent="0.2">
      <c r="A14" s="10">
        <v>14</v>
      </c>
      <c r="B14" s="10" t="s">
        <v>36</v>
      </c>
      <c r="C14" t="s">
        <v>72</v>
      </c>
      <c r="D14" s="10">
        <v>14</v>
      </c>
      <c r="E14" s="10">
        <f>4+2+0+0+0+1+2+0+0+2+0+0+0+0+0+0+1+1+0+0+1</f>
        <v>14</v>
      </c>
      <c r="F14" s="10">
        <f>1+2+0+0+0+1+0+0+0+1+0+0+0+0+0+0+0+0+0+0+0</f>
        <v>5</v>
      </c>
      <c r="G14" s="10">
        <f>0+0+1+0+0+0+0+0+0+0+0+0+0+0+0+0+0+0+0+1+0</f>
        <v>2</v>
      </c>
      <c r="H14" s="10">
        <f t="shared" si="3"/>
        <v>7</v>
      </c>
      <c r="I14" s="26">
        <f t="shared" si="1"/>
        <v>0.35714285714285715</v>
      </c>
      <c r="J14" s="10">
        <f>2+0+3+0+0+3+1+0+0+3+0+0+0+0+0+0+2+1+1+0+1</f>
        <v>17</v>
      </c>
      <c r="K14" s="10"/>
      <c r="L14" s="10"/>
      <c r="M14" s="26"/>
      <c r="N14" s="10">
        <f t="shared" ref="N14:O16" si="4">0+0+0+0+0+0+0+0+0+0+0+0+0+0+0+0+0+0+0+0+0</f>
        <v>0</v>
      </c>
      <c r="O14" s="27">
        <f t="shared" si="4"/>
        <v>0</v>
      </c>
      <c r="P14" s="10">
        <f>0+2+0+0+0+0+0+0+0+0+0+0+0+0+0+1+0+0+1+0</f>
        <v>4</v>
      </c>
      <c r="Q14" s="10">
        <f>1+1+0+0+0+2+0+0+0+1+0+0+0+0+0+0+0+0+1+0+0</f>
        <v>6</v>
      </c>
      <c r="R14" s="37">
        <f>(J14+H14+Q14)/(N14+P14)</f>
        <v>7.5</v>
      </c>
      <c r="S14" s="37">
        <f t="shared" si="0"/>
        <v>1.8571428571428572</v>
      </c>
      <c r="T14" s="39">
        <v>3</v>
      </c>
      <c r="U14" s="43"/>
      <c r="V14" s="44" t="s">
        <v>123</v>
      </c>
      <c r="W14" s="44">
        <f>(J17+J18+J22+J24+J26+J27+J28+J29+J36+J37+J38)/(J7+J12+J16+J20+J21+J23+J25+J31+J17+J18+J22+J24+J26+J27+J28+J29+J36+J37+J38)</f>
        <v>0.46551724137931033</v>
      </c>
    </row>
    <row r="15" spans="1:23" x14ac:dyDescent="0.2">
      <c r="A15" s="10">
        <v>18</v>
      </c>
      <c r="B15" s="10" t="s">
        <v>36</v>
      </c>
      <c r="C15" t="s">
        <v>96</v>
      </c>
      <c r="D15" s="10">
        <v>19</v>
      </c>
      <c r="E15" s="10">
        <f>0+1+2+0+0+2+0+0+1+1+0+0+7+0+3+0+0+0+0+1+0</f>
        <v>18</v>
      </c>
      <c r="F15" s="10">
        <f>0+0+1+0+0+0+0+0+0+0+0+0+3+0+0+0+0+0+0+1+0</f>
        <v>5</v>
      </c>
      <c r="G15" s="10">
        <f>0+0+0+0+0+0+0+0+0+0+0+0+0+0+0+0+0+0+0+0+0</f>
        <v>0</v>
      </c>
      <c r="H15" s="10">
        <f t="shared" ref="H15:H20" si="5">F15+G15</f>
        <v>5</v>
      </c>
      <c r="I15" s="42">
        <f t="shared" ref="I15:I20" si="6">F15/E15</f>
        <v>0.27777777777777779</v>
      </c>
      <c r="J15" s="10">
        <f>0+0+1+0+0+0+1+0+1+3+0+0+1+0+0+3+0+0+0+0+0</f>
        <v>10</v>
      </c>
      <c r="K15" s="10"/>
      <c r="L15" s="10"/>
      <c r="N15" s="10">
        <f t="shared" si="4"/>
        <v>0</v>
      </c>
      <c r="O15" s="27">
        <f t="shared" si="4"/>
        <v>0</v>
      </c>
      <c r="P15" s="10">
        <f>0+0+0+3+0+0+0+0+2+0+0+0+0+0+0+0+0+0+0+1+0</f>
        <v>6</v>
      </c>
      <c r="Q15" s="10">
        <f>0+0+0+0+0+0+0+0+0+0+0+0+1+0+0+0+0+0+0+0</f>
        <v>1</v>
      </c>
      <c r="R15" s="37">
        <f t="shared" si="2"/>
        <v>2.6666666666666665</v>
      </c>
      <c r="S15" s="37">
        <f t="shared" si="0"/>
        <v>0.52631578947368418</v>
      </c>
      <c r="T15" s="41">
        <v>6</v>
      </c>
      <c r="V15" s="44" t="s">
        <v>124</v>
      </c>
      <c r="W15" s="44">
        <f>(Q5+Q6+Q8+Q9+Q10+Q13+Q14+Q15+Q22+Q24+Q26+Q27+Q28+Q29+Q36)/Q43</f>
        <v>0.60317460317460314</v>
      </c>
    </row>
    <row r="16" spans="1:23" x14ac:dyDescent="0.2">
      <c r="A16" s="10">
        <v>19</v>
      </c>
      <c r="B16" s="10" t="s">
        <v>36</v>
      </c>
      <c r="C16" t="s">
        <v>64</v>
      </c>
      <c r="D16" s="10">
        <v>12</v>
      </c>
      <c r="E16" s="10">
        <f>0+1+0+1+0+0+0+0+0+0+0+1+0+1+3+0+0+0+0+0+0</f>
        <v>7</v>
      </c>
      <c r="F16" s="10">
        <f>0+1+0+0+0+0+0+0+0+0+0+0+0+0+0+0+0+0+0+0+0</f>
        <v>1</v>
      </c>
      <c r="G16" s="10">
        <f>0+0+0+0+0+0+0+0+0+0+0+0+0+0+0+0+0+0+0+0+0</f>
        <v>0</v>
      </c>
      <c r="H16" s="10">
        <f t="shared" si="5"/>
        <v>1</v>
      </c>
      <c r="I16" s="42">
        <f t="shared" si="6"/>
        <v>0.14285714285714285</v>
      </c>
      <c r="J16" s="10">
        <f>12+11+0+19+0+0+0+0+7+0+0+15+0+5+13+14+4+12+0+4+14</f>
        <v>130</v>
      </c>
      <c r="K16" s="10">
        <f>16+21+0+24+0+0+0+0+26+0+0+21+0+20+22+16+7+15+0+22+33</f>
        <v>243</v>
      </c>
      <c r="L16" s="10">
        <f>14+18+0+22+0+0+0+0+18+0+0+20+0+11+21+16+6+14+0+10+26</f>
        <v>196</v>
      </c>
      <c r="M16" s="26">
        <f>L16/K16</f>
        <v>0.80658436213991769</v>
      </c>
      <c r="N16" s="10">
        <f t="shared" si="4"/>
        <v>0</v>
      </c>
      <c r="O16" s="27">
        <f t="shared" si="4"/>
        <v>0</v>
      </c>
      <c r="P16" s="10">
        <f>0+0+0+3+0+0+0+0+1+0+0+2+0+1+1+0+1+1+0+0+4</f>
        <v>14</v>
      </c>
      <c r="Q16" s="10">
        <f>0+0+0+0+0+0+0+0+0+0+0+0+0+0+0+0+0+0+0+0+0</f>
        <v>0</v>
      </c>
      <c r="R16" s="37">
        <f t="shared" ref="R16:R21" si="7">(J16+H16+Q16)/(N16+P16)</f>
        <v>9.3571428571428577</v>
      </c>
      <c r="S16" s="37">
        <f>(H16+J16+Q16-N16-P16)/D16</f>
        <v>9.75</v>
      </c>
      <c r="T16" s="51">
        <v>1</v>
      </c>
    </row>
    <row r="17" spans="1:23" x14ac:dyDescent="0.2">
      <c r="A17" s="10">
        <v>20</v>
      </c>
      <c r="B17" s="10" t="s">
        <v>36</v>
      </c>
      <c r="C17" t="s">
        <v>111</v>
      </c>
      <c r="D17" s="10">
        <v>5</v>
      </c>
      <c r="E17" s="10">
        <f>0+0+0+1+0</f>
        <v>1</v>
      </c>
      <c r="F17" s="10">
        <f>0+0+0+0+0</f>
        <v>0</v>
      </c>
      <c r="G17" s="10">
        <f>0+0+0+0+0</f>
        <v>0</v>
      </c>
      <c r="H17" s="10">
        <f t="shared" si="5"/>
        <v>0</v>
      </c>
      <c r="I17" s="42">
        <f t="shared" si="6"/>
        <v>0</v>
      </c>
      <c r="J17" s="10">
        <f>0+0+0+1+0</f>
        <v>1</v>
      </c>
      <c r="K17" s="10"/>
      <c r="L17" s="10"/>
      <c r="M17" s="26"/>
      <c r="N17" s="10">
        <f>0+0+0+0+0</f>
        <v>0</v>
      </c>
      <c r="O17" s="27">
        <f>0+0+0+0+0</f>
        <v>0</v>
      </c>
      <c r="P17" s="10">
        <f>0+0+0+0+1</f>
        <v>1</v>
      </c>
      <c r="Q17" s="10">
        <f>0+0+0+0+0</f>
        <v>0</v>
      </c>
      <c r="R17" s="37">
        <f t="shared" si="7"/>
        <v>1</v>
      </c>
      <c r="S17" s="37">
        <f>(H17+J17+Q17-N17-P17)/D17</f>
        <v>0</v>
      </c>
      <c r="T17" s="10">
        <v>5</v>
      </c>
    </row>
    <row r="18" spans="1:23" x14ac:dyDescent="0.2">
      <c r="A18" s="10">
        <v>23</v>
      </c>
      <c r="B18" s="10" t="s">
        <v>36</v>
      </c>
      <c r="C18" t="s">
        <v>113</v>
      </c>
      <c r="D18" s="10">
        <v>1</v>
      </c>
      <c r="E18" s="10">
        <f>3</f>
        <v>3</v>
      </c>
      <c r="F18" s="10">
        <f>1</f>
        <v>1</v>
      </c>
      <c r="G18" s="10">
        <f>0</f>
        <v>0</v>
      </c>
      <c r="H18" s="10">
        <f t="shared" si="5"/>
        <v>1</v>
      </c>
      <c r="I18" s="42">
        <f t="shared" si="6"/>
        <v>0.33333333333333331</v>
      </c>
      <c r="J18" s="10">
        <f>14</f>
        <v>14</v>
      </c>
      <c r="K18" s="10">
        <f>18</f>
        <v>18</v>
      </c>
      <c r="L18" s="10">
        <f>17</f>
        <v>17</v>
      </c>
      <c r="M18" s="26">
        <f>L18/K18</f>
        <v>0.94444444444444442</v>
      </c>
      <c r="N18" s="10">
        <f>0</f>
        <v>0</v>
      </c>
      <c r="O18" s="27">
        <f>0</f>
        <v>0</v>
      </c>
      <c r="P18" s="10">
        <f>1</f>
        <v>1</v>
      </c>
      <c r="Q18" s="10">
        <f>0</f>
        <v>0</v>
      </c>
      <c r="R18" s="37">
        <f t="shared" si="7"/>
        <v>15</v>
      </c>
      <c r="S18" s="37">
        <f>(H18+J18+Q18-N18-P18)/D18</f>
        <v>14</v>
      </c>
      <c r="V18" t="s">
        <v>125</v>
      </c>
      <c r="W18" s="64">
        <f>(P4+P5+P6+P8+P9+P10+P14+P15+P17+P18+P22+P24+P26+P27+P28+P29+P36+P37)/P43</f>
        <v>0.53239436619718306</v>
      </c>
    </row>
    <row r="19" spans="1:23" x14ac:dyDescent="0.2">
      <c r="A19" s="10">
        <v>25</v>
      </c>
      <c r="B19" s="10" t="s">
        <v>36</v>
      </c>
      <c r="C19" t="s">
        <v>114</v>
      </c>
      <c r="D19" s="10">
        <v>1</v>
      </c>
      <c r="E19" s="10">
        <f>1</f>
        <v>1</v>
      </c>
      <c r="F19" s="10">
        <f>0</f>
        <v>0</v>
      </c>
      <c r="G19" s="10">
        <f>0</f>
        <v>0</v>
      </c>
      <c r="H19" s="10">
        <f t="shared" si="5"/>
        <v>0</v>
      </c>
      <c r="I19" s="42">
        <f t="shared" si="6"/>
        <v>0</v>
      </c>
      <c r="J19" s="10">
        <f>2</f>
        <v>2</v>
      </c>
      <c r="K19" s="10"/>
      <c r="L19" s="10"/>
      <c r="M19" s="26"/>
      <c r="N19" s="10">
        <f>0</f>
        <v>0</v>
      </c>
      <c r="O19" s="27">
        <f>0</f>
        <v>0</v>
      </c>
      <c r="P19" s="10">
        <f>0</f>
        <v>0</v>
      </c>
      <c r="Q19" s="10">
        <f>0</f>
        <v>0</v>
      </c>
      <c r="R19" s="37" t="e">
        <f t="shared" si="7"/>
        <v>#DIV/0!</v>
      </c>
      <c r="S19" s="37">
        <f>(H19+J19+Q19-N19-P19)/D19</f>
        <v>2</v>
      </c>
    </row>
    <row r="20" spans="1:23" x14ac:dyDescent="0.2">
      <c r="A20" s="10">
        <v>27</v>
      </c>
      <c r="B20" s="10" t="s">
        <v>36</v>
      </c>
      <c r="C20" t="s">
        <v>98</v>
      </c>
      <c r="D20" s="10">
        <v>10</v>
      </c>
      <c r="E20" s="10">
        <f>0+0+0+0+0+0+0+0+0+0+0+0+0+0+0+0+0+0+0+0+0</f>
        <v>0</v>
      </c>
      <c r="F20" s="10">
        <f>0+0+0+0+0+0+0+0+0+0+0+0+0+0+0+0+0+0+0+0+0</f>
        <v>0</v>
      </c>
      <c r="G20" s="10">
        <f>0+0+0+0+0+0+0+0+0+0+0+0+0+0+0+0+0+0+0+0+0</f>
        <v>0</v>
      </c>
      <c r="H20" s="10">
        <f t="shared" si="5"/>
        <v>0</v>
      </c>
      <c r="I20" s="42" t="e">
        <f t="shared" si="6"/>
        <v>#DIV/0!</v>
      </c>
      <c r="J20" s="10">
        <f>0+0+0+0+2+0+0+1+0+0+1+0+0+0+0+0+0+0+0+0+0</f>
        <v>4</v>
      </c>
      <c r="K20" s="10"/>
      <c r="L20" s="10"/>
      <c r="M20" s="10"/>
      <c r="N20" s="10">
        <f>0+0+0+0+0+1+0+0+0+0+0+0+0+0+0+0+0+1+0+0+0</f>
        <v>2</v>
      </c>
      <c r="O20" s="27">
        <f>0+0+0+0+0+1+0+0+0+0+0+0+0+0+0+0+0+1+0+0+0</f>
        <v>2</v>
      </c>
      <c r="P20" s="10">
        <f>0+0+0+0+0+0+0+0+0+0+1+0+0+0+0+0+0+0+0+0+0</f>
        <v>1</v>
      </c>
      <c r="Q20" s="10">
        <f>0+0+0+0+1+0+0+1+0+0+0+0+0+0+0+0+0+0+0+0+0</f>
        <v>2</v>
      </c>
      <c r="R20" s="37">
        <f t="shared" si="7"/>
        <v>2</v>
      </c>
      <c r="S20" s="37">
        <f>(H20+J20+Q20-N20-P20)/D20</f>
        <v>0.3</v>
      </c>
      <c r="T20" s="50">
        <v>4</v>
      </c>
    </row>
    <row r="21" spans="1:23" x14ac:dyDescent="0.2">
      <c r="A21" s="10">
        <v>30</v>
      </c>
      <c r="B21" s="10" t="s">
        <v>36</v>
      </c>
      <c r="C21" t="s">
        <v>83</v>
      </c>
      <c r="D21" s="10">
        <v>20</v>
      </c>
      <c r="E21" s="10">
        <f>0+0+0+0+1+0+0+0+0+0+0+0+0+0+1+2+1+0+0+0+0</f>
        <v>5</v>
      </c>
      <c r="F21" s="10">
        <f>0+0+0+0+0+0+0+0+0+0+0+0+0+0+0+0+0+0+0+0+0</f>
        <v>0</v>
      </c>
      <c r="G21" s="10">
        <f>0+0+0+0+0+0+0+0+0+0+0+0+0+0+0+0+0+0+0+1+0</f>
        <v>1</v>
      </c>
      <c r="H21" s="10">
        <f t="shared" ref="H21:H28" si="8">F21+G21</f>
        <v>1</v>
      </c>
      <c r="I21" s="26">
        <f t="shared" si="1"/>
        <v>0</v>
      </c>
      <c r="J21" s="10">
        <f>3+1+1+0+2+1+0+2+0+2+0+0+0+0+1+3+1+1+0+1+0</f>
        <v>19</v>
      </c>
      <c r="K21" s="10"/>
      <c r="L21" s="10"/>
      <c r="M21" s="26"/>
      <c r="N21" s="10">
        <f>0+0+0+0+0+0+0+0+0+0+0+0+0+0+0+0+1+0+0+0+0</f>
        <v>1</v>
      </c>
      <c r="O21" s="27">
        <f>0+0+0+0+0+0+0+0+0+0+0+0+0+0+0+0+1+0+0+0+0</f>
        <v>1</v>
      </c>
      <c r="P21" s="10">
        <f>4+0+0+0+1+1+0+1+1+0+0+0+0+1+0+2+0+0+2+0</f>
        <v>13</v>
      </c>
      <c r="Q21" s="10">
        <f>0+0+0+0+1+0+0+1+0+0+0+0+0+0+0+0+0+0+0+0+0</f>
        <v>2</v>
      </c>
      <c r="R21" s="37">
        <f t="shared" si="7"/>
        <v>1.5714285714285714</v>
      </c>
      <c r="S21" s="37">
        <f t="shared" si="0"/>
        <v>0.4</v>
      </c>
      <c r="T21" s="10">
        <v>3</v>
      </c>
    </row>
    <row r="22" spans="1:23" x14ac:dyDescent="0.2">
      <c r="A22" s="10">
        <v>99</v>
      </c>
      <c r="B22" s="10" t="s">
        <v>36</v>
      </c>
      <c r="C22" t="s">
        <v>92</v>
      </c>
      <c r="D22" s="10">
        <v>17</v>
      </c>
      <c r="E22" s="10">
        <f>0+0+0+0+0+1+0+0+1+0+0+0+1+0+0+0+0+0+0+0+0</f>
        <v>3</v>
      </c>
      <c r="F22" s="10">
        <f>0+0+0+0+0+0+0+0+0+0+0+0+0+0+0+0+0+0+0+0+0</f>
        <v>0</v>
      </c>
      <c r="G22" s="10">
        <f t="shared" ref="G22:G28" si="9">0+0+0+0+0+0+0+0+0+0+0+0+0+0+0+0+0+0+0+0+0</f>
        <v>0</v>
      </c>
      <c r="H22" s="10">
        <f t="shared" si="8"/>
        <v>0</v>
      </c>
      <c r="I22" s="26">
        <f t="shared" si="1"/>
        <v>0</v>
      </c>
      <c r="J22" s="10">
        <f>1+0+1+0+2+3+6+9+0+5+0+0+5+0+0+0+3+1+0+0+0</f>
        <v>36</v>
      </c>
      <c r="K22" s="10">
        <f>9+6+18+0+21+21+20+25+1+30+22+0+6+1+3+6+21+2+10+0+0</f>
        <v>222</v>
      </c>
      <c r="L22" s="10">
        <f>4+2+11+0+13+13+12+18+1+18+2+0+6+0+1+2+7+1+2+0+0</f>
        <v>113</v>
      </c>
      <c r="M22" s="26">
        <f>L22/K22</f>
        <v>0.50900900900900903</v>
      </c>
      <c r="N22" s="10">
        <f>0+0+0+0+0+0+0+1+0+0+0+0+0+0+0+0+4+0+0+0+0</f>
        <v>5</v>
      </c>
      <c r="O22" s="27">
        <f>0+0+0+0+0+0+0+2+0+0+0+0+0+0+0+0+3.5+0+0+0+0</f>
        <v>5.5</v>
      </c>
      <c r="P22" s="10">
        <f>1+0+0+0+0+0+0+3+0+2+0+0+1+0+0+0+0+1+0+0+0</f>
        <v>8</v>
      </c>
      <c r="Q22" s="10">
        <f>0+0+1+0+0+0+0+0+0+0+0+0+0+0+0+0+0+0+0+0+0</f>
        <v>1</v>
      </c>
      <c r="R22" s="37">
        <f t="shared" si="2"/>
        <v>2.8461538461538463</v>
      </c>
      <c r="S22" s="37">
        <f t="shared" si="0"/>
        <v>1.411764705882353</v>
      </c>
      <c r="T22" s="51">
        <v>2</v>
      </c>
    </row>
    <row r="23" spans="1:23" x14ac:dyDescent="0.2">
      <c r="A23" s="10">
        <v>8</v>
      </c>
      <c r="B23" s="10" t="s">
        <v>58</v>
      </c>
      <c r="C23" t="s">
        <v>67</v>
      </c>
      <c r="D23" s="10">
        <v>21</v>
      </c>
      <c r="E23" s="10">
        <f>0+0+0+0+0+0+0+0+0+0+0+0+0+0+0+0+0+0+0+0+0+0</f>
        <v>0</v>
      </c>
      <c r="F23" s="10">
        <f>0+0+0+0+0+0+0+0+0+0+0+0+0+0+0+0+0+0+0+0+0</f>
        <v>0</v>
      </c>
      <c r="G23" s="10">
        <f t="shared" si="9"/>
        <v>0</v>
      </c>
      <c r="H23" s="10">
        <f t="shared" si="8"/>
        <v>0</v>
      </c>
      <c r="I23" s="26" t="e">
        <f t="shared" si="1"/>
        <v>#DIV/0!</v>
      </c>
      <c r="J23" s="10">
        <f>4+0+1+2+2+1+2+1+0+2+2+3+0+2+4+0+4+1+0+0+1</f>
        <v>32</v>
      </c>
      <c r="K23" s="10">
        <f>5</f>
        <v>5</v>
      </c>
      <c r="L23" s="10">
        <f>0</f>
        <v>0</v>
      </c>
      <c r="M23" s="26">
        <f>L23/K23</f>
        <v>0</v>
      </c>
      <c r="N23" s="10">
        <f>1+0+1+0+0+1+0+1+0+0+0+1+1+0+0+0+0+0+0+0+0</f>
        <v>6</v>
      </c>
      <c r="O23" s="27">
        <f>1+0+1+0+0+0.5+0+1+0+0+0+1+0.5+0+0+0+0+0+0+0+0</f>
        <v>5</v>
      </c>
      <c r="P23" s="10">
        <f>2+3+1+3+1+0+1+1+1+0+3+4+0+1+1+0+2+0+2+0+0</f>
        <v>26</v>
      </c>
      <c r="Q23" s="10">
        <f>4+2+2+0+2+1+0+0+0+0+0+2+0+1+2+0+2+3+0+0+1</f>
        <v>22</v>
      </c>
      <c r="R23" s="37">
        <f>(J23+H23+Q23)/(N23+P23)</f>
        <v>1.6875</v>
      </c>
      <c r="S23" s="37">
        <f t="shared" si="0"/>
        <v>1.0476190476190477</v>
      </c>
      <c r="T23" s="52">
        <v>4</v>
      </c>
    </row>
    <row r="24" spans="1:23" x14ac:dyDescent="0.2">
      <c r="A24" s="10">
        <v>12</v>
      </c>
      <c r="B24" s="10" t="s">
        <v>58</v>
      </c>
      <c r="C24" t="s">
        <v>80</v>
      </c>
      <c r="D24" s="10">
        <v>20</v>
      </c>
      <c r="E24" s="10">
        <f>0+0+0+0+1+1+0+0+0+0+0+0+0+1+1+0+0+0+0+1+0</f>
        <v>5</v>
      </c>
      <c r="F24" s="10">
        <f>0+0+0+0+1+0+0+0+0+0+0+0+0+0+0+0+0+0+0+0+0</f>
        <v>1</v>
      </c>
      <c r="G24" s="10">
        <f t="shared" si="9"/>
        <v>0</v>
      </c>
      <c r="H24" s="10">
        <f t="shared" si="8"/>
        <v>1</v>
      </c>
      <c r="I24" s="26">
        <f>F24/E24</f>
        <v>0.2</v>
      </c>
      <c r="J24" s="10">
        <f>5+0+5+2+4+4+5+3+4+2+2+2+0+5+2+5+2+1+1+2+4</f>
        <v>60</v>
      </c>
      <c r="K24" s="63">
        <f>6</f>
        <v>6</v>
      </c>
      <c r="L24" s="10">
        <v>0</v>
      </c>
      <c r="M24" s="26">
        <f>L24/K24</f>
        <v>0</v>
      </c>
      <c r="N24" s="10">
        <f>0+0+0+0+0+2+0+0+0+1+0+0+0+0+2+0+0+0+0+0+0</f>
        <v>5</v>
      </c>
      <c r="O24" s="27">
        <f>0+0+0+0+0+1.5+0+0+0+1+0+0+0+0+2+0+0+0+0+0+0</f>
        <v>4.5</v>
      </c>
      <c r="P24" s="10">
        <f>0+0+0+0+0+0+2+0+1+0+2+1+0+3+1+0+0+0+2+2+3</f>
        <v>17</v>
      </c>
      <c r="Q24" s="10">
        <f>1+0+1+3+1+1+2+1+2+1+0+0+0+3+0+2+1+1+1+0+1</f>
        <v>22</v>
      </c>
      <c r="R24" s="37">
        <f>(J24+H24+Q24)/(N24+P24)</f>
        <v>3.7727272727272729</v>
      </c>
      <c r="S24" s="37">
        <f t="shared" si="0"/>
        <v>3.05</v>
      </c>
      <c r="T24" s="52">
        <v>1</v>
      </c>
    </row>
    <row r="25" spans="1:23" x14ac:dyDescent="0.2">
      <c r="A25" s="10">
        <v>10</v>
      </c>
      <c r="B25" s="10" t="s">
        <v>37</v>
      </c>
      <c r="C25" t="s">
        <v>79</v>
      </c>
      <c r="D25" s="10">
        <v>18</v>
      </c>
      <c r="E25" s="10">
        <f t="shared" ref="E25:F28" si="10">0+0+0+0+0+0+0+0+0+0+0+0+0+0+0+0+0+0+0+0+0</f>
        <v>0</v>
      </c>
      <c r="F25" s="10">
        <f t="shared" si="10"/>
        <v>0</v>
      </c>
      <c r="G25" s="10">
        <f t="shared" si="9"/>
        <v>0</v>
      </c>
      <c r="H25" s="10">
        <f t="shared" si="8"/>
        <v>0</v>
      </c>
      <c r="I25" s="26" t="e">
        <f>F25/E25</f>
        <v>#DIV/0!</v>
      </c>
      <c r="J25" s="10">
        <f>3+0+1+0+1+1+0+0+0+0+0+0+0+0+0+0+0+0+0+0+0</f>
        <v>6</v>
      </c>
      <c r="K25" s="10"/>
      <c r="L25" s="10"/>
      <c r="N25" s="10">
        <f>0+0+0+0+0+0+0+0+0+0+0+0+0+0+0+0+0+0+0+0+0</f>
        <v>0</v>
      </c>
      <c r="O25" s="27">
        <f>0+0+0+0+0+0+0+0+0+0+0+0+0+0+0+0+0+0+0+0+0</f>
        <v>0</v>
      </c>
      <c r="P25" s="10">
        <f>0+1+1+0+0+1+0+0+1+0+0+0+0+0+0+1+0+0+0+0+0</f>
        <v>5</v>
      </c>
      <c r="Q25" s="10">
        <f>0+0+0+0+0+1+0+0+0+0+0+0+0+0+0+0+0+0+0+0+0</f>
        <v>1</v>
      </c>
      <c r="R25" s="37">
        <f>(J25+H25+Q25)/(N25+P25)</f>
        <v>1.4</v>
      </c>
      <c r="S25" s="37">
        <f t="shared" si="0"/>
        <v>0.1111111111111111</v>
      </c>
      <c r="T25" s="52">
        <v>7</v>
      </c>
    </row>
    <row r="26" spans="1:23" x14ac:dyDescent="0.2">
      <c r="A26" s="10">
        <v>15</v>
      </c>
      <c r="B26" s="10" t="s">
        <v>37</v>
      </c>
      <c r="C26" t="s">
        <v>84</v>
      </c>
      <c r="D26" s="10">
        <v>21</v>
      </c>
      <c r="E26" s="10">
        <f t="shared" si="10"/>
        <v>0</v>
      </c>
      <c r="F26" s="10">
        <f t="shared" si="10"/>
        <v>0</v>
      </c>
      <c r="G26" s="10">
        <f t="shared" si="9"/>
        <v>0</v>
      </c>
      <c r="H26" s="10">
        <f t="shared" si="8"/>
        <v>0</v>
      </c>
      <c r="I26" s="26" t="e">
        <f t="shared" si="1"/>
        <v>#DIV/0!</v>
      </c>
      <c r="J26" s="10">
        <f>2+1+3+0+0+1+1+0+0+0+0+0+0+0+1+0+0+0+0+0+0</f>
        <v>9</v>
      </c>
      <c r="K26" s="10"/>
      <c r="L26" s="10"/>
      <c r="M26" s="26"/>
      <c r="N26" s="10">
        <f>0+0+0+0+0+0+0+0+0+0+0+0+0+0+0+0+0+0+1+0+0</f>
        <v>1</v>
      </c>
      <c r="O26" s="27">
        <f>0+0+0+0+0+0+0+0+0+0+0+0+0+0+0+0+0+0+0.5+0+0</f>
        <v>0.5</v>
      </c>
      <c r="P26" s="10">
        <f>1+2+1+0+0+0+1+0+1+0+0+0+1+0+0+1+0+0+1+0+0</f>
        <v>9</v>
      </c>
      <c r="Q26" s="10">
        <f>0+1+1+0+1+1+0+0+0+0+0+0+0+0+1+0+0+1+0+0+0</f>
        <v>6</v>
      </c>
      <c r="R26" s="37">
        <f>(J26+H26+Q26)/(N26+P26)</f>
        <v>1.5</v>
      </c>
      <c r="S26" s="37">
        <f t="shared" si="0"/>
        <v>0.23809523809523808</v>
      </c>
      <c r="T26" s="52">
        <v>6</v>
      </c>
    </row>
    <row r="27" spans="1:23" x14ac:dyDescent="0.2">
      <c r="A27" s="10">
        <v>17</v>
      </c>
      <c r="B27" s="10" t="s">
        <v>99</v>
      </c>
      <c r="C27" t="s">
        <v>85</v>
      </c>
      <c r="D27" s="10">
        <v>18</v>
      </c>
      <c r="E27" s="10">
        <f t="shared" si="10"/>
        <v>0</v>
      </c>
      <c r="F27" s="10">
        <f t="shared" si="10"/>
        <v>0</v>
      </c>
      <c r="G27" s="10">
        <f t="shared" si="9"/>
        <v>0</v>
      </c>
      <c r="H27" s="10">
        <f t="shared" si="8"/>
        <v>0</v>
      </c>
      <c r="I27" s="26" t="e">
        <f t="shared" si="1"/>
        <v>#DIV/0!</v>
      </c>
      <c r="J27" s="10">
        <f>0+0+0+0+2+3+0+0+2+2+0+0+1+0+0+0+1+1+0+2+2</f>
        <v>16</v>
      </c>
      <c r="K27" s="10"/>
      <c r="L27" s="10"/>
      <c r="N27" s="10">
        <f>0+0+0+1+1+1+0+1+0+1+0+0+0+0+0+0+0+0+1+0+1</f>
        <v>7</v>
      </c>
      <c r="O27" s="27">
        <f>0+0+0+1+1+1+0+1+0+1+0+0+0+0+0+0+0+0+1+0+1</f>
        <v>7</v>
      </c>
      <c r="P27" s="10">
        <f>0+0+0+2+2+0+0+1+0+2+0+0+0+2+0+1+0+2+0+0+2</f>
        <v>14</v>
      </c>
      <c r="Q27" s="10">
        <f>0+0+0+0+2+4+0+3+3+2+0+1+0+1+0+0+0+1+0+3+0</f>
        <v>20</v>
      </c>
      <c r="R27" s="37">
        <f>(J27+H27+Q27)/(N27+P27)</f>
        <v>1.7142857142857142</v>
      </c>
      <c r="S27" s="37">
        <f t="shared" si="0"/>
        <v>0.83333333333333337</v>
      </c>
      <c r="T27" s="52">
        <v>5</v>
      </c>
    </row>
    <row r="28" spans="1:23" x14ac:dyDescent="0.2">
      <c r="A28" s="10">
        <v>22</v>
      </c>
      <c r="B28" s="10" t="s">
        <v>37</v>
      </c>
      <c r="C28" t="s">
        <v>100</v>
      </c>
      <c r="D28" s="10">
        <v>21</v>
      </c>
      <c r="E28" s="10">
        <f t="shared" si="10"/>
        <v>0</v>
      </c>
      <c r="F28" s="10">
        <f t="shared" si="10"/>
        <v>0</v>
      </c>
      <c r="G28" s="10">
        <f t="shared" si="9"/>
        <v>0</v>
      </c>
      <c r="H28" s="10">
        <f t="shared" si="8"/>
        <v>0</v>
      </c>
      <c r="I28" s="26" t="e">
        <f t="shared" si="1"/>
        <v>#DIV/0!</v>
      </c>
      <c r="J28" s="10">
        <f>1+1+1+1+0+4+0+3+1+2+0+0+1+1+1+0+4+5+1+1+1</f>
        <v>29</v>
      </c>
      <c r="K28" s="10"/>
      <c r="L28" s="10"/>
      <c r="M28" s="26"/>
      <c r="N28" s="10">
        <f>0+1+1+0+0+0+0+0+0+0+0+0+0+0+0+1+0+0+0+0+0</f>
        <v>3</v>
      </c>
      <c r="O28" s="27">
        <f>0+1+1+0+0+0+0+0+0+0+0+0+0+0+0+1+0+0+0+0+0</f>
        <v>3</v>
      </c>
      <c r="P28" s="10">
        <f>0+0+0+0+0+0+0+2+0+0+0+0+0+0+0+0+0+0+0+0+0</f>
        <v>2</v>
      </c>
      <c r="Q28" s="10">
        <f>0+0+0+2+1+0+0+1+0+0+0+0+0+0+1+0+0+1+1+1+0</f>
        <v>8</v>
      </c>
      <c r="R28" s="37">
        <f t="shared" si="2"/>
        <v>7.4</v>
      </c>
      <c r="S28" s="37">
        <f t="shared" si="0"/>
        <v>1.5238095238095237</v>
      </c>
      <c r="T28" s="52">
        <v>2</v>
      </c>
    </row>
    <row r="29" spans="1:23" x14ac:dyDescent="0.2">
      <c r="A29" s="10">
        <v>24</v>
      </c>
      <c r="B29" s="10" t="s">
        <v>37</v>
      </c>
      <c r="C29" t="s">
        <v>101</v>
      </c>
      <c r="D29" s="10">
        <v>14</v>
      </c>
      <c r="E29" s="10">
        <f>0+0+0+0+1+0+0+0+0+0+0+0+1+0+0+0+0+0+0+0+0</f>
        <v>2</v>
      </c>
      <c r="F29" s="10">
        <f>0+0+0+0+0+0+0+0+0+0+0+0+0+0+0+0+0+0+0+0+0</f>
        <v>0</v>
      </c>
      <c r="G29" s="10">
        <f>0+0+0+0+0+0+0+0+0+0+0+0+1+0+0+0+0+0+0+0+0</f>
        <v>1</v>
      </c>
      <c r="H29" s="10">
        <f>F29+G29</f>
        <v>1</v>
      </c>
      <c r="I29" s="42">
        <f t="shared" si="1"/>
        <v>0</v>
      </c>
      <c r="J29" s="10">
        <f>0+1+1+0+1+1+0+0+0+1+0+0+2+0+0+2+2+0+0+0+1</f>
        <v>12</v>
      </c>
      <c r="K29" s="10">
        <f>6</f>
        <v>6</v>
      </c>
      <c r="L29" s="10">
        <f>1</f>
        <v>1</v>
      </c>
      <c r="M29" s="26">
        <f>L29/K29</f>
        <v>0.16666666666666666</v>
      </c>
      <c r="N29" s="10">
        <f>0+0+0+0+0+1+0+0+0+0+0+0+0+0+0+0+0+0+0+0+0</f>
        <v>1</v>
      </c>
      <c r="O29" s="27">
        <f>0+0+0+0+0+1+0+0+0+0+0+0+0+0+0+0+0+0+0+0+0</f>
        <v>1</v>
      </c>
      <c r="P29" s="10">
        <f>0+0+0+0+0+0+0+0+0+0+0+0+0+0+0+0+0+0+0+1+1</f>
        <v>2</v>
      </c>
      <c r="Q29" s="10">
        <f>0+0+0+0+1+1+0+0+0+0+0+0+1+0+0+1+1+1+0+2+0</f>
        <v>8</v>
      </c>
      <c r="R29" s="37">
        <f t="shared" si="2"/>
        <v>7</v>
      </c>
      <c r="S29" s="37">
        <f t="shared" si="0"/>
        <v>1.2857142857142858</v>
      </c>
      <c r="T29" s="53">
        <v>3</v>
      </c>
    </row>
    <row r="30" spans="1:23" x14ac:dyDescent="0.2">
      <c r="A30" s="10">
        <v>26</v>
      </c>
      <c r="B30" s="10" t="s">
        <v>37</v>
      </c>
      <c r="C30" t="s">
        <v>115</v>
      </c>
      <c r="D30" s="10">
        <v>1</v>
      </c>
      <c r="E30" s="10">
        <f>0</f>
        <v>0</v>
      </c>
      <c r="F30" s="10">
        <f>0</f>
        <v>0</v>
      </c>
      <c r="G30" s="10">
        <f>0</f>
        <v>0</v>
      </c>
      <c r="H30" s="10">
        <f>F30+G30</f>
        <v>0</v>
      </c>
      <c r="I30" s="42" t="e">
        <f t="shared" si="1"/>
        <v>#DIV/0!</v>
      </c>
      <c r="J30" s="10">
        <f>0</f>
        <v>0</v>
      </c>
      <c r="K30" s="10"/>
      <c r="L30" s="10"/>
      <c r="M30" s="26"/>
      <c r="N30" s="10">
        <f>0</f>
        <v>0</v>
      </c>
      <c r="O30" s="27">
        <f>0</f>
        <v>0</v>
      </c>
      <c r="P30" s="10">
        <f>0</f>
        <v>0</v>
      </c>
      <c r="Q30" s="10">
        <f>0</f>
        <v>0</v>
      </c>
      <c r="R30" s="27" t="e">
        <f>(J30+H30+Q30)/(N30+P30)</f>
        <v>#DIV/0!</v>
      </c>
      <c r="S30" s="27">
        <f>(H30+J30+Q30-N30-P30)/D30</f>
        <v>0</v>
      </c>
      <c r="T30" s="53"/>
    </row>
    <row r="31" spans="1:23" x14ac:dyDescent="0.2">
      <c r="A31" s="10">
        <v>32</v>
      </c>
      <c r="B31" s="10" t="s">
        <v>37</v>
      </c>
      <c r="C31" t="s">
        <v>102</v>
      </c>
      <c r="D31" s="10">
        <v>14</v>
      </c>
      <c r="E31" s="10">
        <f>0+0+0+0+0+0+0+0+0+0+0+0+0+0+0+0+0+0+0+0+0</f>
        <v>0</v>
      </c>
      <c r="F31" s="10">
        <f>0+0+0+0+0+0+0+0+0+0+0+0+0+0+0+0+0+0+0+0+0</f>
        <v>0</v>
      </c>
      <c r="G31" s="10">
        <f>0+0+0+0+0+0+0+0+0+0+0+0+0+0+0+0+0+0+0+0+0</f>
        <v>0</v>
      </c>
      <c r="H31" s="10">
        <f>F31+G31</f>
        <v>0</v>
      </c>
      <c r="I31" s="42" t="e">
        <f t="shared" si="1"/>
        <v>#DIV/0!</v>
      </c>
      <c r="J31" s="10">
        <f>0+0+0+0+0+0+0+0+0+0+1+0+1+0+0+0+0+0+0+0+0</f>
        <v>2</v>
      </c>
      <c r="K31" s="10"/>
      <c r="L31" s="10"/>
      <c r="M31" s="42"/>
      <c r="N31" s="10">
        <f>0+0+0+0+0+0+0+0+0+0+0+0+0+0+0+1+0+0+0+0+0</f>
        <v>1</v>
      </c>
      <c r="O31" s="27">
        <f>0+0+0+0+0+0+0+0+0+0+0+0+0+0+0+1+0+0+0+0+0</f>
        <v>1</v>
      </c>
      <c r="P31" s="10">
        <f>0+0+0+0+0+0+0+0+0+0+1+0+0+0+0+0+0+0+0+0</f>
        <v>1</v>
      </c>
      <c r="Q31" s="10">
        <f>0+0+0+0+0+0+0+0+0+0+0+0+0+0+0+0+0+0+0+0+0</f>
        <v>0</v>
      </c>
      <c r="R31" s="37">
        <f t="shared" si="2"/>
        <v>1</v>
      </c>
      <c r="S31" s="37">
        <f t="shared" si="0"/>
        <v>0</v>
      </c>
      <c r="T31" s="53">
        <v>8</v>
      </c>
    </row>
    <row r="32" spans="1:23" x14ac:dyDescent="0.2">
      <c r="A32" s="10">
        <v>33</v>
      </c>
      <c r="B32" s="10" t="s">
        <v>37</v>
      </c>
      <c r="C32" t="s">
        <v>116</v>
      </c>
      <c r="D32" s="10">
        <v>1</v>
      </c>
      <c r="E32" s="10">
        <f>0</f>
        <v>0</v>
      </c>
      <c r="F32" s="10">
        <f>0</f>
        <v>0</v>
      </c>
      <c r="G32" s="10">
        <f>0</f>
        <v>0</v>
      </c>
      <c r="H32" s="10">
        <f>F32+G32</f>
        <v>0</v>
      </c>
      <c r="I32" s="42" t="e">
        <f t="shared" si="1"/>
        <v>#DIV/0!</v>
      </c>
      <c r="J32" s="10">
        <f>0</f>
        <v>0</v>
      </c>
      <c r="K32" s="10"/>
      <c r="L32" s="10"/>
      <c r="M32" s="10"/>
      <c r="N32" s="10">
        <f>0</f>
        <v>0</v>
      </c>
      <c r="O32" s="27">
        <f>0</f>
        <v>0</v>
      </c>
      <c r="P32" s="10">
        <f>0</f>
        <v>0</v>
      </c>
      <c r="Q32" s="10">
        <f>0</f>
        <v>0</v>
      </c>
      <c r="R32" s="27" t="e">
        <f>(J32+H32+Q32)/(N32+P32)</f>
        <v>#DIV/0!</v>
      </c>
      <c r="S32" s="27">
        <f>(H32+J32+Q32-N32-P32)/D32</f>
        <v>0</v>
      </c>
    </row>
    <row r="33" spans="1:20" x14ac:dyDescent="0.2">
      <c r="A33" s="10">
        <v>34</v>
      </c>
      <c r="B33" s="10" t="s">
        <v>37</v>
      </c>
      <c r="C33" t="s">
        <v>117</v>
      </c>
      <c r="D33" s="10">
        <v>1</v>
      </c>
      <c r="E33" s="10">
        <f>0</f>
        <v>0</v>
      </c>
      <c r="F33" s="10">
        <f>0</f>
        <v>0</v>
      </c>
      <c r="G33" s="10">
        <f>0</f>
        <v>0</v>
      </c>
      <c r="H33" s="10">
        <f>F33+G33</f>
        <v>0</v>
      </c>
      <c r="I33" s="42" t="e">
        <f t="shared" si="1"/>
        <v>#DIV/0!</v>
      </c>
      <c r="J33" s="10">
        <f>0</f>
        <v>0</v>
      </c>
      <c r="K33" s="10"/>
      <c r="L33" s="10"/>
      <c r="M33" s="10"/>
      <c r="N33" s="10">
        <f>0</f>
        <v>0</v>
      </c>
      <c r="O33" s="27">
        <f>0</f>
        <v>0</v>
      </c>
      <c r="P33" s="10">
        <f>0</f>
        <v>0</v>
      </c>
      <c r="Q33" s="10">
        <f>0</f>
        <v>0</v>
      </c>
      <c r="R33" s="27" t="e">
        <f>(J33+H33+Q33)/(N33+P33)</f>
        <v>#DIV/0!</v>
      </c>
      <c r="S33" s="27">
        <f>(H33+J33+Q33-N33-P33)/D33</f>
        <v>0</v>
      </c>
    </row>
    <row r="34" spans="1:20" x14ac:dyDescent="0.2"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27"/>
      <c r="R34" s="27"/>
    </row>
    <row r="35" spans="1:20" x14ac:dyDescent="0.2">
      <c r="D35" s="10"/>
      <c r="E35" s="10"/>
      <c r="F35" s="10"/>
      <c r="G35" s="10"/>
      <c r="H35" s="10"/>
      <c r="I35" s="26"/>
      <c r="J35" s="10"/>
      <c r="K35" s="10"/>
      <c r="L35" s="10"/>
      <c r="M35" s="10"/>
      <c r="N35" s="10"/>
      <c r="O35" s="33"/>
      <c r="R35" s="27"/>
      <c r="S35" s="27"/>
    </row>
    <row r="36" spans="1:20" x14ac:dyDescent="0.2">
      <c r="A36" s="10">
        <v>21</v>
      </c>
      <c r="B36" s="10" t="s">
        <v>38</v>
      </c>
      <c r="C36" t="s">
        <v>86</v>
      </c>
      <c r="D36" s="10">
        <v>15</v>
      </c>
      <c r="E36" s="10">
        <f t="shared" ref="E36:G37" si="11">0+0+0+0+0+0+0+0+0+0+0+0+0+0+0+0+0+0+0+0+0</f>
        <v>0</v>
      </c>
      <c r="F36" s="10">
        <f t="shared" si="11"/>
        <v>0</v>
      </c>
      <c r="G36" s="10">
        <f t="shared" si="11"/>
        <v>0</v>
      </c>
      <c r="H36" s="10">
        <f>F36+G36</f>
        <v>0</v>
      </c>
      <c r="I36" s="26" t="e">
        <f>F36/E36</f>
        <v>#DIV/0!</v>
      </c>
      <c r="J36" s="10">
        <f>0+1+1+2+0+0+0+0+2+0+0+3+0+0+1+0+0+0+0+11+0</f>
        <v>21</v>
      </c>
      <c r="K36" s="10"/>
      <c r="L36" s="10"/>
      <c r="N36" s="10">
        <f>0+0+0+0+0+0+0+0+0+0+0+1+0+0+0+0+0+0+0+0+0</f>
        <v>1</v>
      </c>
      <c r="O36" s="27">
        <f>0+0+0+0+0+0+0+0+0+0+0+0.5+0+0+0+0+0+0+0+0+0</f>
        <v>0.5</v>
      </c>
      <c r="P36" s="10">
        <f>1+1+0+4+0+0+0+1+1+0+0+1+1+0+0+0+0+1+0+0+0</f>
        <v>11</v>
      </c>
      <c r="Q36" s="10">
        <f>0+0+0+0+0+0+0+0+0+0+0+1+0+0+0+0+0+0+0+0+0</f>
        <v>1</v>
      </c>
      <c r="R36" s="37">
        <f>(J36+H36+Q36)+(F46/3)/(N36+P36)</f>
        <v>24.25</v>
      </c>
      <c r="S36" s="37">
        <f>((H36+J36+Q36-N36-P36)+(F46/3))/D36</f>
        <v>2.4666666666666668</v>
      </c>
      <c r="T36" s="40">
        <v>2</v>
      </c>
    </row>
    <row r="37" spans="1:20" x14ac:dyDescent="0.2">
      <c r="A37" s="10">
        <v>29</v>
      </c>
      <c r="B37" s="10" t="s">
        <v>38</v>
      </c>
      <c r="C37" t="s">
        <v>97</v>
      </c>
      <c r="D37" s="10">
        <v>17</v>
      </c>
      <c r="E37" s="10">
        <f t="shared" si="11"/>
        <v>0</v>
      </c>
      <c r="F37" s="10">
        <f t="shared" si="11"/>
        <v>0</v>
      </c>
      <c r="G37" s="10">
        <f t="shared" si="11"/>
        <v>0</v>
      </c>
      <c r="H37" s="10">
        <f>F37+G37</f>
        <v>0</v>
      </c>
      <c r="I37" s="26" t="e">
        <f>F37/E37</f>
        <v>#DIV/0!</v>
      </c>
      <c r="J37" s="10">
        <f>0+0+0+0+0+0+1+0+0+0+8+0+0+2+0+0+0+0+6+0+0</f>
        <v>17</v>
      </c>
      <c r="K37" s="10"/>
      <c r="L37" s="10"/>
      <c r="N37" s="10">
        <f>0+0+0+0+0+0+0+0+0+0+0+0+0+0+0+0+0+0+0+0+0</f>
        <v>0</v>
      </c>
      <c r="O37" s="27">
        <f>0+0+0+0+0+0+0+0+0+0+0+0+0+0+0+0+0+0+0+0+0</f>
        <v>0</v>
      </c>
      <c r="P37" s="10">
        <f>0+1+0+0+0+0+1+0+0+1+2+0+0+0+1+0+0+1+0+0+3</f>
        <v>10</v>
      </c>
      <c r="Q37" s="10">
        <f>0+0+0+0+0+0+0+0+0+0+0+0+0+0+0+0+0+0+0+0+0</f>
        <v>0</v>
      </c>
      <c r="R37" s="37">
        <f>(J37+H37+Q37)+(F47/3)/(N37+P37)</f>
        <v>21.066666666666666</v>
      </c>
      <c r="S37" s="37">
        <f>((H37+J37+Q37-N37-P37)+(F47/3))/D37</f>
        <v>2.8039215686274508</v>
      </c>
      <c r="T37" s="40">
        <v>1</v>
      </c>
    </row>
    <row r="38" spans="1:20" x14ac:dyDescent="0.2">
      <c r="A38" s="10">
        <v>28</v>
      </c>
      <c r="B38" s="10" t="s">
        <v>38</v>
      </c>
      <c r="C38" t="s">
        <v>112</v>
      </c>
      <c r="D38" s="10">
        <v>1</v>
      </c>
      <c r="E38" s="10">
        <f>0</f>
        <v>0</v>
      </c>
      <c r="F38" s="10">
        <f>0</f>
        <v>0</v>
      </c>
      <c r="G38" s="10">
        <f>0</f>
        <v>0</v>
      </c>
      <c r="H38" s="10">
        <f>F38+G38</f>
        <v>0</v>
      </c>
      <c r="I38" s="26" t="e">
        <f>F38/E38</f>
        <v>#DIV/0!</v>
      </c>
      <c r="J38" s="10">
        <f>1</f>
        <v>1</v>
      </c>
      <c r="K38" s="10"/>
      <c r="L38" s="10"/>
      <c r="N38" s="10">
        <f>0</f>
        <v>0</v>
      </c>
      <c r="O38" s="27">
        <f>0</f>
        <v>0</v>
      </c>
      <c r="P38" s="10">
        <f>0</f>
        <v>0</v>
      </c>
      <c r="Q38" s="10">
        <f>0</f>
        <v>0</v>
      </c>
      <c r="R38" s="37" t="e">
        <f>(J38+H38+Q38)+(F48/3)/(N38+P38)</f>
        <v>#DIV/0!</v>
      </c>
      <c r="S38" s="37">
        <f>((H38+J38+Q38-N38-P38)+(F48/3))/D38</f>
        <v>1.6666666666666665</v>
      </c>
      <c r="T38" s="40">
        <v>3</v>
      </c>
    </row>
    <row r="39" spans="1:20" x14ac:dyDescent="0.2"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27"/>
    </row>
    <row r="40" spans="1:20" x14ac:dyDescent="0.2">
      <c r="A40" s="10" t="s">
        <v>78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33"/>
      <c r="P40" s="33"/>
      <c r="Q40" s="33"/>
      <c r="S40" s="27"/>
    </row>
    <row r="41" spans="1:20" x14ac:dyDescent="0.2">
      <c r="D41" s="10"/>
      <c r="E41" s="10"/>
      <c r="F41" s="10"/>
      <c r="G41" s="10"/>
      <c r="H41" s="10"/>
      <c r="I41" s="10"/>
      <c r="J41" s="10"/>
      <c r="K41" s="10"/>
      <c r="L41" s="10"/>
      <c r="N41" s="10"/>
      <c r="O41" s="10"/>
    </row>
    <row r="42" spans="1:20" x14ac:dyDescent="0.2">
      <c r="D42" s="10"/>
      <c r="E42" s="10"/>
      <c r="F42" s="10"/>
      <c r="G42" s="10"/>
      <c r="H42" s="10"/>
      <c r="I42" s="10"/>
      <c r="J42" s="10"/>
      <c r="K42" s="15"/>
      <c r="L42" s="15"/>
      <c r="M42" s="15"/>
      <c r="N42" s="10"/>
      <c r="O42" s="10"/>
      <c r="P42" s="15"/>
      <c r="Q42" s="15"/>
    </row>
    <row r="43" spans="1:20" x14ac:dyDescent="0.2">
      <c r="C43" s="12" t="s">
        <v>30</v>
      </c>
      <c r="D43" s="10"/>
      <c r="E43" s="13">
        <f>SUM(E3:E42)</f>
        <v>751</v>
      </c>
      <c r="F43" s="13">
        <f>SUM(F3:F42)</f>
        <v>265</v>
      </c>
      <c r="G43" s="13">
        <f>SUM(G3:G42)</f>
        <v>142</v>
      </c>
      <c r="H43" s="10"/>
      <c r="I43" s="38">
        <f>F43/E43</f>
        <v>0.35286284953395475</v>
      </c>
      <c r="J43" s="13">
        <f>SUM(J3:J42)</f>
        <v>820</v>
      </c>
      <c r="K43" s="10">
        <f>SUM(K3:K42)</f>
        <v>514</v>
      </c>
      <c r="L43" s="10">
        <f>SUM(L3:L42)</f>
        <v>336</v>
      </c>
      <c r="M43" s="26">
        <f>L43/K43</f>
        <v>0.65369649805447472</v>
      </c>
      <c r="N43" s="13">
        <f>SUM(N3:N42)</f>
        <v>90</v>
      </c>
      <c r="O43" s="13">
        <f>SUM(O3:O42)</f>
        <v>89</v>
      </c>
      <c r="P43" s="10">
        <f>SUM(P3:P42)</f>
        <v>355</v>
      </c>
      <c r="Q43" s="10">
        <f>SUM(Q3:Q42)</f>
        <v>189</v>
      </c>
    </row>
    <row r="44" spans="1:20" x14ac:dyDescent="0.2">
      <c r="E44" s="27">
        <f>E43/D51</f>
        <v>35.761904761904759</v>
      </c>
      <c r="F44" s="27">
        <f>F43/D51</f>
        <v>12.619047619047619</v>
      </c>
      <c r="G44" s="27">
        <f>G43/D51</f>
        <v>6.7619047619047619</v>
      </c>
      <c r="N44" s="10">
        <f>N43/D51</f>
        <v>4.2857142857142856</v>
      </c>
      <c r="O44" s="10">
        <f>O43/D51</f>
        <v>4.2380952380952381</v>
      </c>
      <c r="P44" s="10">
        <f>P43/D51</f>
        <v>16.904761904761905</v>
      </c>
      <c r="Q44" s="10">
        <f>Q43/D51</f>
        <v>9</v>
      </c>
    </row>
    <row r="45" spans="1:20" ht="39" x14ac:dyDescent="0.2">
      <c r="C45" s="2"/>
      <c r="D45" s="3" t="s">
        <v>10</v>
      </c>
      <c r="E45" s="3" t="s">
        <v>56</v>
      </c>
      <c r="F45" s="3" t="s">
        <v>11</v>
      </c>
      <c r="G45" s="29" t="s">
        <v>53</v>
      </c>
      <c r="H45" s="3" t="s">
        <v>57</v>
      </c>
      <c r="I45" s="3"/>
    </row>
    <row r="46" spans="1:20" x14ac:dyDescent="0.2">
      <c r="C46" t="s">
        <v>86</v>
      </c>
      <c r="D46" s="5">
        <v>7</v>
      </c>
      <c r="E46" s="5">
        <f>15+20+4+25+9+11+12+4+14+2+7+7+2+9+22</f>
        <v>163</v>
      </c>
      <c r="F46" s="5">
        <f>10+6+2+13+5+6+5+0+8+2+5+4+2+2+11</f>
        <v>81</v>
      </c>
      <c r="G46" s="56">
        <f>F46/D36</f>
        <v>5.4</v>
      </c>
      <c r="H46" s="26">
        <f>F46/E46</f>
        <v>0.49693251533742333</v>
      </c>
      <c r="I46" s="5"/>
      <c r="M46" s="19" t="s">
        <v>40</v>
      </c>
      <c r="N46" s="19" t="s">
        <v>41</v>
      </c>
    </row>
    <row r="47" spans="1:20" x14ac:dyDescent="0.2">
      <c r="C47" t="s">
        <v>97</v>
      </c>
      <c r="D47" s="55">
        <v>14</v>
      </c>
      <c r="E47" s="55">
        <f>0+3+2+0+13+10+13+9+13+21+33+1+0+20+8+11+4+7+25+30</f>
        <v>223</v>
      </c>
      <c r="F47" s="55">
        <f>0+1+2+0+8+9+9+5+3+15+14+1+0+11+7+7+1+4+13+0+12</f>
        <v>122</v>
      </c>
      <c r="G47" s="56">
        <f>F47/D37</f>
        <v>7.1764705882352944</v>
      </c>
      <c r="H47" s="57">
        <f>F47/E47</f>
        <v>0.547085201793722</v>
      </c>
      <c r="I47" s="5"/>
      <c r="K47" s="12" t="s">
        <v>31</v>
      </c>
      <c r="M47" s="10">
        <f>3+6+2+5+9+4+7+2+11+4+1+6+3+7+6+4+6+8+3+4+10</f>
        <v>111</v>
      </c>
      <c r="N47" s="10">
        <f>3+6.5+1+4+7+3.5+6+2.5+13+3.5+1+6.5+2.5+6+5+4+6+7.5+2.5+3+10.5</f>
        <v>104.5</v>
      </c>
      <c r="O47" s="14"/>
    </row>
    <row r="48" spans="1:20" x14ac:dyDescent="0.2">
      <c r="C48" t="s">
        <v>112</v>
      </c>
      <c r="E48" s="10">
        <f>3</f>
        <v>3</v>
      </c>
      <c r="F48" s="10">
        <f>2</f>
        <v>2</v>
      </c>
      <c r="G48" s="56">
        <f>F48/D38</f>
        <v>2</v>
      </c>
      <c r="H48" s="57">
        <f>F48/E48</f>
        <v>0.66666666666666663</v>
      </c>
      <c r="M48" s="10">
        <f>M47/D51</f>
        <v>5.2857142857142856</v>
      </c>
      <c r="N48" s="10">
        <f>N47/D51</f>
        <v>4.9761904761904763</v>
      </c>
    </row>
    <row r="49" spans="3:15" x14ac:dyDescent="0.2">
      <c r="C49" s="16"/>
      <c r="D49" s="5"/>
      <c r="E49" s="5"/>
      <c r="F49" s="5"/>
      <c r="G49" s="32"/>
      <c r="H49" s="11"/>
      <c r="I49" s="5"/>
    </row>
    <row r="50" spans="3:15" x14ac:dyDescent="0.2">
      <c r="C50" s="6" t="s">
        <v>19</v>
      </c>
      <c r="D50" s="3" t="s">
        <v>29</v>
      </c>
      <c r="E50" s="3" t="s">
        <v>20</v>
      </c>
      <c r="F50" s="3" t="s">
        <v>21</v>
      </c>
      <c r="G50" s="17" t="s">
        <v>39</v>
      </c>
      <c r="I50" s="3"/>
      <c r="M50" s="12"/>
    </row>
    <row r="51" spans="3:15" x14ac:dyDescent="0.2">
      <c r="C51" s="4"/>
      <c r="D51" s="5">
        <v>21</v>
      </c>
      <c r="E51" s="5">
        <f>11+7+18+9+12+17+11+9+13+9+12+11+7+13+10+11+11+9+10+19+7</f>
        <v>236</v>
      </c>
      <c r="F51" s="5">
        <f>5+6+3+8+8+2+4+3+4+5+8+3+1+5+1+3+3+2+3+6+9</f>
        <v>92</v>
      </c>
      <c r="G51" s="36">
        <f>E51/(F51+E51)</f>
        <v>0.71951219512195119</v>
      </c>
      <c r="I51" s="5"/>
      <c r="K51" s="12"/>
      <c r="M51" s="27"/>
    </row>
    <row r="52" spans="3:15" x14ac:dyDescent="0.2">
      <c r="C52" s="4"/>
      <c r="D52" s="5"/>
      <c r="E52" s="5"/>
      <c r="F52" s="5"/>
      <c r="G52" s="2"/>
      <c r="I52" s="5"/>
    </row>
    <row r="53" spans="3:15" x14ac:dyDescent="0.2">
      <c r="C53" s="6" t="s">
        <v>27</v>
      </c>
      <c r="D53" s="3" t="s">
        <v>29</v>
      </c>
      <c r="E53" s="3" t="s">
        <v>20</v>
      </c>
      <c r="F53" s="3" t="s">
        <v>21</v>
      </c>
      <c r="G53" s="17" t="s">
        <v>39</v>
      </c>
      <c r="I53" s="3"/>
      <c r="K53" s="12"/>
      <c r="M53" s="27"/>
    </row>
    <row r="54" spans="3:15" x14ac:dyDescent="0.2">
      <c r="C54" s="4"/>
      <c r="D54" s="5">
        <v>21</v>
      </c>
      <c r="E54" s="5">
        <f>10+11+3+10+8+9+15+9+15+5+11+12+5+14+6+7+7+9+11+16+11</f>
        <v>204</v>
      </c>
      <c r="F54" s="5">
        <f>5+13+10+2+9+7+6+6+10+10+2+7+21+4+7+10+5+9+0+2+4</f>
        <v>149</v>
      </c>
      <c r="G54" s="36">
        <f>E54/(F54+E54)</f>
        <v>0.57790368271954673</v>
      </c>
      <c r="I54" s="5"/>
    </row>
    <row r="55" spans="3:15" x14ac:dyDescent="0.2">
      <c r="C55" s="4"/>
      <c r="D55" s="5"/>
      <c r="E55" s="5"/>
      <c r="F55" s="5"/>
      <c r="G55" s="2"/>
      <c r="I55" s="5"/>
    </row>
    <row r="56" spans="3:15" x14ac:dyDescent="0.2">
      <c r="C56" s="6" t="s">
        <v>22</v>
      </c>
      <c r="D56" s="3" t="s">
        <v>29</v>
      </c>
      <c r="E56" s="3" t="s">
        <v>23</v>
      </c>
      <c r="F56" s="3" t="s">
        <v>24</v>
      </c>
      <c r="G56" s="17" t="s">
        <v>39</v>
      </c>
      <c r="I56" s="3"/>
      <c r="K56" s="12" t="s">
        <v>50</v>
      </c>
      <c r="M56" s="10">
        <f>20+20+23+14+22+17+13+12+17+16+14+12+27+17+12+16+20+17+8+14+6</f>
        <v>337</v>
      </c>
    </row>
    <row r="57" spans="3:15" x14ac:dyDescent="0.2">
      <c r="C57" s="4"/>
      <c r="D57" s="5">
        <v>21</v>
      </c>
      <c r="E57" s="5">
        <f>1+2+0+2+5+4+3+4+1+3+0+0+1+2+2+2+4+1+1+1+2</f>
        <v>41</v>
      </c>
      <c r="F57" s="5">
        <f>1+3+2+3+2+0+3+0+7+1+1+5+2+4+3+1+2+7+2+3+7</f>
        <v>59</v>
      </c>
      <c r="G57" s="36">
        <f>E57/(F57+E57)</f>
        <v>0.41</v>
      </c>
      <c r="I57" s="5"/>
      <c r="M57">
        <f>M56/D51</f>
        <v>16.047619047619047</v>
      </c>
    </row>
    <row r="58" spans="3:15" x14ac:dyDescent="0.2">
      <c r="C58" s="4"/>
      <c r="D58" s="5"/>
      <c r="E58" s="5"/>
      <c r="F58" s="5"/>
      <c r="G58" s="2"/>
      <c r="I58" s="5"/>
      <c r="K58" s="24" t="s">
        <v>51</v>
      </c>
      <c r="L58" s="10">
        <f>25+20+19+11+35+24+19+22+27+37+8+20+37+18+28+26+23+22+8+18+23</f>
        <v>470</v>
      </c>
    </row>
    <row r="59" spans="3:15" x14ac:dyDescent="0.2">
      <c r="C59" s="6" t="s">
        <v>25</v>
      </c>
      <c r="D59" s="3" t="s">
        <v>29</v>
      </c>
      <c r="E59" s="3" t="s">
        <v>23</v>
      </c>
      <c r="F59" s="3" t="s">
        <v>24</v>
      </c>
      <c r="G59" s="17" t="s">
        <v>39</v>
      </c>
      <c r="I59" s="3"/>
      <c r="M59">
        <f>L58/D60</f>
        <v>22.38095238095238</v>
      </c>
      <c r="O59" s="64">
        <f>L58/E43</f>
        <v>0.62583222370173097</v>
      </c>
    </row>
    <row r="60" spans="3:15" x14ac:dyDescent="0.2">
      <c r="C60" s="4"/>
      <c r="D60" s="5">
        <v>21</v>
      </c>
      <c r="E60" s="5">
        <f>2+1+1+1+1+0+1+1+3+2+0+0+0+1+2+0+0+1+2+2+0</f>
        <v>21</v>
      </c>
      <c r="F60" s="5">
        <f>1+4+4+4+3+7+1+3+2+1+1+3+1+1+4+4+5+3+2+1+5</f>
        <v>60</v>
      </c>
      <c r="G60" s="36">
        <f>E60/(F60+E60)</f>
        <v>0.25925925925925924</v>
      </c>
      <c r="I60" s="5"/>
      <c r="K60" s="24" t="s">
        <v>52</v>
      </c>
      <c r="L60" s="10">
        <f>15+23+6+25+13+10+22+20+25+25+33+15+5+20+15+11+11+9+34+22+30</f>
        <v>389</v>
      </c>
    </row>
    <row r="61" spans="3:15" x14ac:dyDescent="0.2">
      <c r="C61" s="4"/>
      <c r="D61" s="5"/>
      <c r="E61" s="5"/>
      <c r="F61" s="5"/>
      <c r="G61" s="2"/>
      <c r="I61" s="5"/>
      <c r="M61">
        <f>L60/D60</f>
        <v>18.523809523809526</v>
      </c>
    </row>
    <row r="62" spans="3:15" x14ac:dyDescent="0.2">
      <c r="C62" s="2"/>
      <c r="D62" s="2"/>
      <c r="E62" s="2"/>
      <c r="F62" s="2"/>
      <c r="G62" s="2"/>
      <c r="I62" s="2"/>
    </row>
    <row r="63" spans="3:15" x14ac:dyDescent="0.2">
      <c r="C63" s="6" t="s">
        <v>12</v>
      </c>
      <c r="D63" s="3" t="s">
        <v>13</v>
      </c>
      <c r="E63" s="3"/>
      <c r="F63" s="3" t="s">
        <v>14</v>
      </c>
      <c r="G63" s="2"/>
      <c r="I63" s="9"/>
    </row>
    <row r="64" spans="3:15" x14ac:dyDescent="0.2">
      <c r="C64" s="6" t="s">
        <v>15</v>
      </c>
      <c r="D64" s="7">
        <f>16+8+13+9+16+17+10+15+7+19+5+12+19+8+18+16+19+11+5+10+12</f>
        <v>265</v>
      </c>
      <c r="E64" s="7"/>
      <c r="F64" s="7">
        <f>5+16+2+12+5+1+8+9+17+10+19+6+1+9+3+4+6+3+19+11+18</f>
        <v>184</v>
      </c>
      <c r="G64" s="2"/>
      <c r="I64" s="9"/>
    </row>
    <row r="65" spans="1:9" x14ac:dyDescent="0.2">
      <c r="C65" s="6" t="s">
        <v>16</v>
      </c>
      <c r="D65" s="8">
        <f>D64/D60</f>
        <v>12.619047619047619</v>
      </c>
      <c r="E65" s="8"/>
      <c r="F65" s="8">
        <f>F64/D60</f>
        <v>8.7619047619047628</v>
      </c>
      <c r="G65" s="2"/>
      <c r="I65" s="8"/>
    </row>
    <row r="66" spans="1:9" x14ac:dyDescent="0.2">
      <c r="C66" s="6" t="s">
        <v>17</v>
      </c>
      <c r="D66" s="9" t="s">
        <v>118</v>
      </c>
      <c r="E66" s="9"/>
      <c r="F66" s="9" t="s">
        <v>120</v>
      </c>
      <c r="G66" s="9" t="s">
        <v>18</v>
      </c>
      <c r="I66" s="9"/>
    </row>
    <row r="71" spans="1:9" x14ac:dyDescent="0.2">
      <c r="C71" s="18" t="s">
        <v>42</v>
      </c>
      <c r="D71" s="19" t="s">
        <v>44</v>
      </c>
      <c r="E71" s="19" t="s">
        <v>45</v>
      </c>
      <c r="F71" s="19" t="s">
        <v>46</v>
      </c>
      <c r="G71" s="19" t="s">
        <v>47</v>
      </c>
      <c r="H71" s="19" t="s">
        <v>48</v>
      </c>
      <c r="I71" s="19"/>
    </row>
    <row r="72" spans="1:9" x14ac:dyDescent="0.2">
      <c r="H72" s="12"/>
    </row>
    <row r="73" spans="1:9" x14ac:dyDescent="0.2">
      <c r="A73" s="20">
        <v>45713</v>
      </c>
      <c r="C73" s="12" t="s">
        <v>43</v>
      </c>
      <c r="D73" s="10">
        <v>6</v>
      </c>
      <c r="E73" s="10">
        <v>5</v>
      </c>
      <c r="F73" s="10">
        <v>2</v>
      </c>
      <c r="G73" s="10">
        <v>3</v>
      </c>
      <c r="H73" s="25">
        <f>SUM(D73:G73)</f>
        <v>16</v>
      </c>
      <c r="I73" s="10"/>
    </row>
    <row r="74" spans="1:9" x14ac:dyDescent="0.2">
      <c r="A74" s="10" t="s">
        <v>59</v>
      </c>
      <c r="C74" s="18" t="s">
        <v>103</v>
      </c>
      <c r="D74" s="10">
        <v>2</v>
      </c>
      <c r="E74" s="10">
        <v>0</v>
      </c>
      <c r="F74" s="10">
        <v>2</v>
      </c>
      <c r="G74" s="10">
        <v>1</v>
      </c>
      <c r="H74" s="25">
        <f>SUM(D74:G74)</f>
        <v>5</v>
      </c>
      <c r="I74" s="10"/>
    </row>
    <row r="75" spans="1:9" x14ac:dyDescent="0.2">
      <c r="B75" s="21" t="s">
        <v>49</v>
      </c>
      <c r="C75" s="12" t="s">
        <v>43</v>
      </c>
      <c r="D75" s="38">
        <v>0.59</v>
      </c>
      <c r="E75" s="38">
        <v>0.66700000000000004</v>
      </c>
      <c r="F75" s="38">
        <v>0.39</v>
      </c>
      <c r="G75" s="38">
        <v>0.57699999999999996</v>
      </c>
      <c r="H75" s="46">
        <v>0.56100000000000005</v>
      </c>
      <c r="I75" s="34"/>
    </row>
    <row r="76" spans="1:9" x14ac:dyDescent="0.2">
      <c r="B76" s="23"/>
      <c r="C76" s="18" t="s">
        <v>103</v>
      </c>
      <c r="D76" s="48">
        <v>0.41</v>
      </c>
      <c r="E76" s="48">
        <v>0.33300000000000002</v>
      </c>
      <c r="F76" s="48">
        <v>0.61</v>
      </c>
      <c r="G76" s="48">
        <v>0.42299999999999999</v>
      </c>
      <c r="H76" s="47">
        <v>0.439</v>
      </c>
      <c r="I76" s="35"/>
    </row>
    <row r="77" spans="1:9" x14ac:dyDescent="0.2">
      <c r="H77" s="12"/>
    </row>
    <row r="78" spans="1:9" x14ac:dyDescent="0.2">
      <c r="A78" s="20">
        <v>45744</v>
      </c>
      <c r="C78" s="12" t="s">
        <v>43</v>
      </c>
      <c r="D78" s="10">
        <v>3</v>
      </c>
      <c r="E78" s="10">
        <v>1</v>
      </c>
      <c r="F78" s="10">
        <v>0</v>
      </c>
      <c r="G78" s="10">
        <v>4</v>
      </c>
      <c r="H78" s="25">
        <f>SUM(D78:G78)+J83+K83</f>
        <v>8</v>
      </c>
      <c r="I78" s="10"/>
    </row>
    <row r="79" spans="1:9" x14ac:dyDescent="0.2">
      <c r="A79" s="10" t="s">
        <v>60</v>
      </c>
      <c r="C79" s="12" t="s">
        <v>69</v>
      </c>
      <c r="D79" s="10">
        <v>2</v>
      </c>
      <c r="E79" s="10">
        <v>4</v>
      </c>
      <c r="F79" s="10">
        <v>5</v>
      </c>
      <c r="G79" s="10">
        <v>5</v>
      </c>
      <c r="H79" s="25">
        <f>SUM(D79:G79)+J84+K84</f>
        <v>16</v>
      </c>
      <c r="I79" s="10"/>
    </row>
    <row r="80" spans="1:9" x14ac:dyDescent="0.2">
      <c r="B80" s="21" t="s">
        <v>49</v>
      </c>
      <c r="C80" s="22" t="s">
        <v>43</v>
      </c>
      <c r="D80" s="38">
        <v>0.57499999999999996</v>
      </c>
      <c r="E80" s="38">
        <v>0.40200000000000002</v>
      </c>
      <c r="F80" s="38">
        <v>0.41199999999999998</v>
      </c>
      <c r="G80" s="38">
        <v>0.501</v>
      </c>
      <c r="H80" s="46">
        <v>0.47499999999999998</v>
      </c>
      <c r="I80" s="13"/>
    </row>
    <row r="81" spans="1:11" x14ac:dyDescent="0.2">
      <c r="B81" s="23"/>
      <c r="C81" s="18" t="s">
        <v>69</v>
      </c>
      <c r="D81" s="48">
        <v>0.42499999999999999</v>
      </c>
      <c r="E81" s="48">
        <v>0.59799999999999998</v>
      </c>
      <c r="F81" s="48">
        <v>0.58799999999999997</v>
      </c>
      <c r="G81" s="48">
        <v>0.499</v>
      </c>
      <c r="H81" s="47">
        <v>0.52500000000000002</v>
      </c>
      <c r="I81" s="15"/>
    </row>
    <row r="82" spans="1:11" x14ac:dyDescent="0.2">
      <c r="H82" s="12"/>
      <c r="J82" s="10"/>
      <c r="K82" s="10"/>
    </row>
    <row r="83" spans="1:11" x14ac:dyDescent="0.2">
      <c r="A83" s="20">
        <v>45720</v>
      </c>
      <c r="C83" s="12" t="s">
        <v>43</v>
      </c>
      <c r="D83" s="10">
        <v>2</v>
      </c>
      <c r="E83" s="10">
        <v>7</v>
      </c>
      <c r="F83" s="10">
        <v>1</v>
      </c>
      <c r="G83" s="10">
        <v>3</v>
      </c>
      <c r="H83" s="25">
        <f>SUM(D83:G83)</f>
        <v>13</v>
      </c>
      <c r="I83" s="10"/>
      <c r="J83" s="10"/>
      <c r="K83" s="10"/>
    </row>
    <row r="84" spans="1:11" x14ac:dyDescent="0.2">
      <c r="A84" s="10" t="s">
        <v>60</v>
      </c>
      <c r="C84" s="12" t="s">
        <v>104</v>
      </c>
      <c r="D84" s="10">
        <v>0</v>
      </c>
      <c r="E84" s="10">
        <v>0</v>
      </c>
      <c r="F84" s="10">
        <v>2</v>
      </c>
      <c r="G84" s="10">
        <v>0</v>
      </c>
      <c r="H84" s="25">
        <f>SUM(D84:G84)</f>
        <v>2</v>
      </c>
      <c r="I84" s="10"/>
      <c r="J84" s="10"/>
      <c r="K84" s="10"/>
    </row>
    <row r="85" spans="1:11" x14ac:dyDescent="0.2">
      <c r="B85" s="21" t="s">
        <v>49</v>
      </c>
      <c r="C85" s="22" t="s">
        <v>43</v>
      </c>
      <c r="D85" s="38">
        <v>0.54100000000000004</v>
      </c>
      <c r="E85" s="38">
        <v>0.74399999999999999</v>
      </c>
      <c r="F85" s="38">
        <v>0.66100000000000003</v>
      </c>
      <c r="G85" s="38">
        <v>0.52</v>
      </c>
      <c r="H85" s="46">
        <v>0.61099999999999999</v>
      </c>
      <c r="I85" s="13"/>
      <c r="J85" s="10"/>
      <c r="K85" s="10"/>
    </row>
    <row r="86" spans="1:11" x14ac:dyDescent="0.2">
      <c r="B86" s="23"/>
      <c r="C86" s="18" t="s">
        <v>104</v>
      </c>
      <c r="D86" s="48">
        <v>0.45900000000000002</v>
      </c>
      <c r="E86" s="48">
        <v>0.25600000000000001</v>
      </c>
      <c r="F86" s="48">
        <v>0.33900000000000002</v>
      </c>
      <c r="G86" s="48">
        <v>0.48</v>
      </c>
      <c r="H86" s="47">
        <v>0.38900000000000001</v>
      </c>
      <c r="I86" s="35"/>
      <c r="J86" s="10"/>
      <c r="K86" s="10"/>
    </row>
    <row r="88" spans="1:11" x14ac:dyDescent="0.2">
      <c r="H88" s="12"/>
    </row>
    <row r="89" spans="1:11" x14ac:dyDescent="0.2">
      <c r="A89" s="20">
        <v>45723</v>
      </c>
      <c r="C89" s="12" t="s">
        <v>43</v>
      </c>
      <c r="D89" s="10">
        <v>3</v>
      </c>
      <c r="E89" s="10">
        <v>0</v>
      </c>
      <c r="F89" s="10">
        <v>5</v>
      </c>
      <c r="G89" s="10">
        <v>1</v>
      </c>
      <c r="H89" s="25">
        <f>SUM(D89:G89)</f>
        <v>9</v>
      </c>
      <c r="I89" s="10"/>
    </row>
    <row r="90" spans="1:11" x14ac:dyDescent="0.2">
      <c r="A90" s="10" t="s">
        <v>60</v>
      </c>
      <c r="C90" s="12" t="s">
        <v>89</v>
      </c>
      <c r="D90" s="10">
        <v>3</v>
      </c>
      <c r="E90" s="10">
        <v>3</v>
      </c>
      <c r="F90" s="10">
        <v>4</v>
      </c>
      <c r="G90" s="10">
        <v>2</v>
      </c>
      <c r="H90" s="25">
        <f>SUM(D90:G90)</f>
        <v>12</v>
      </c>
      <c r="I90" s="10"/>
    </row>
    <row r="91" spans="1:11" x14ac:dyDescent="0.2">
      <c r="B91" s="21" t="s">
        <v>49</v>
      </c>
      <c r="C91" s="22" t="s">
        <v>43</v>
      </c>
      <c r="D91" s="38">
        <v>0.49199999999999999</v>
      </c>
      <c r="E91" s="38">
        <v>0.41099999999999998</v>
      </c>
      <c r="F91" s="38">
        <v>0.69499999999999995</v>
      </c>
      <c r="G91" s="38">
        <v>0.40300000000000002</v>
      </c>
      <c r="H91" s="46">
        <v>0.495</v>
      </c>
      <c r="I91" s="13"/>
    </row>
    <row r="92" spans="1:11" x14ac:dyDescent="0.2">
      <c r="B92" s="23"/>
      <c r="C92" s="18" t="s">
        <v>89</v>
      </c>
      <c r="D92" s="48">
        <v>0.50800000000000001</v>
      </c>
      <c r="E92" s="48">
        <v>0.58899999999999997</v>
      </c>
      <c r="F92" s="48">
        <v>0.30499999999999999</v>
      </c>
      <c r="G92" s="48">
        <v>0.59699999999999998</v>
      </c>
      <c r="H92" s="47">
        <v>0.505</v>
      </c>
      <c r="I92" s="15"/>
    </row>
    <row r="93" spans="1:11" x14ac:dyDescent="0.2">
      <c r="H93" s="12"/>
    </row>
    <row r="94" spans="1:11" x14ac:dyDescent="0.2">
      <c r="A94" s="20">
        <v>45729</v>
      </c>
      <c r="C94" s="12" t="s">
        <v>43</v>
      </c>
      <c r="D94" s="10">
        <v>4</v>
      </c>
      <c r="E94" s="10">
        <v>3</v>
      </c>
      <c r="F94" s="10">
        <v>4</v>
      </c>
      <c r="G94" s="10">
        <v>5</v>
      </c>
      <c r="H94" s="25">
        <f>SUM(D94:G94)</f>
        <v>16</v>
      </c>
      <c r="I94" s="10"/>
    </row>
    <row r="95" spans="1:11" x14ac:dyDescent="0.2">
      <c r="A95" s="10" t="s">
        <v>59</v>
      </c>
      <c r="C95" s="18" t="s">
        <v>105</v>
      </c>
      <c r="D95" s="10">
        <v>0</v>
      </c>
      <c r="E95" s="10">
        <v>2</v>
      </c>
      <c r="F95" s="10">
        <v>2</v>
      </c>
      <c r="G95" s="10">
        <v>1</v>
      </c>
      <c r="H95" s="25">
        <f>SUM(D95:G95)+J104</f>
        <v>5</v>
      </c>
      <c r="I95" s="10"/>
    </row>
    <row r="96" spans="1:11" x14ac:dyDescent="0.2">
      <c r="B96" s="21" t="s">
        <v>49</v>
      </c>
      <c r="C96" s="12" t="s">
        <v>43</v>
      </c>
      <c r="D96" s="38">
        <v>0.50600000000000001</v>
      </c>
      <c r="E96" s="38">
        <v>0.61599999999999999</v>
      </c>
      <c r="F96" s="38">
        <v>0.55700000000000005</v>
      </c>
      <c r="G96" s="38">
        <v>0.73099999999999998</v>
      </c>
      <c r="H96" s="46">
        <v>0.60799999999999998</v>
      </c>
      <c r="I96" s="34"/>
    </row>
    <row r="97" spans="1:11" x14ac:dyDescent="0.2">
      <c r="B97" s="23"/>
      <c r="C97" s="18" t="s">
        <v>105</v>
      </c>
      <c r="D97" s="48">
        <v>0.49399999999999999</v>
      </c>
      <c r="E97" s="48">
        <v>0.38400000000000001</v>
      </c>
      <c r="F97" s="48">
        <v>0.443</v>
      </c>
      <c r="G97" s="48">
        <v>0.26900000000000002</v>
      </c>
      <c r="H97" s="47">
        <v>0.39200000000000002</v>
      </c>
      <c r="I97" s="35"/>
      <c r="J97" s="10"/>
      <c r="K97" s="10"/>
    </row>
    <row r="98" spans="1:11" x14ac:dyDescent="0.2">
      <c r="J98" s="10"/>
      <c r="K98" s="10"/>
    </row>
    <row r="99" spans="1:11" x14ac:dyDescent="0.2">
      <c r="A99" s="20">
        <v>45734</v>
      </c>
      <c r="C99" s="12" t="s">
        <v>43</v>
      </c>
      <c r="D99" s="10">
        <v>5</v>
      </c>
      <c r="E99" s="10">
        <v>7</v>
      </c>
      <c r="F99" s="10">
        <v>2</v>
      </c>
      <c r="G99" s="10">
        <v>3</v>
      </c>
      <c r="H99" s="25">
        <f>SUM(D99:G99)</f>
        <v>17</v>
      </c>
      <c r="I99" s="10"/>
      <c r="J99" s="10"/>
      <c r="K99" s="10"/>
    </row>
    <row r="100" spans="1:11" x14ac:dyDescent="0.2">
      <c r="A100" s="10" t="s">
        <v>59</v>
      </c>
      <c r="C100" s="18" t="s">
        <v>106</v>
      </c>
      <c r="D100" s="10">
        <v>0</v>
      </c>
      <c r="E100" s="10">
        <v>0</v>
      </c>
      <c r="F100" s="10">
        <v>0</v>
      </c>
      <c r="G100" s="10">
        <v>1</v>
      </c>
      <c r="H100" s="25">
        <f>SUM(D100:G100)+J109</f>
        <v>1</v>
      </c>
      <c r="I100" s="10"/>
      <c r="J100" s="10"/>
      <c r="K100" s="10"/>
    </row>
    <row r="101" spans="1:11" x14ac:dyDescent="0.2">
      <c r="B101" s="21" t="s">
        <v>49</v>
      </c>
      <c r="C101" s="12" t="s">
        <v>43</v>
      </c>
      <c r="D101" s="38">
        <v>0.65300000000000002</v>
      </c>
      <c r="E101" s="38">
        <v>0.54500000000000004</v>
      </c>
      <c r="F101" s="38">
        <v>0.53300000000000003</v>
      </c>
      <c r="G101" s="38">
        <v>0.65100000000000002</v>
      </c>
      <c r="H101" s="46">
        <v>0.59299999999999997</v>
      </c>
      <c r="I101" s="34"/>
      <c r="J101" s="10"/>
      <c r="K101" s="10"/>
    </row>
    <row r="102" spans="1:11" x14ac:dyDescent="0.2">
      <c r="B102" s="23"/>
      <c r="C102" s="18" t="s">
        <v>106</v>
      </c>
      <c r="D102" s="48">
        <v>0.34699999999999998</v>
      </c>
      <c r="E102" s="48">
        <v>0.45500000000000002</v>
      </c>
      <c r="F102" s="48">
        <v>0.46700000000000003</v>
      </c>
      <c r="G102" s="48">
        <v>0.34899999999999998</v>
      </c>
      <c r="H102" s="47">
        <v>0.40699999999999997</v>
      </c>
      <c r="I102" s="35"/>
      <c r="J102" s="10"/>
    </row>
    <row r="103" spans="1:11" x14ac:dyDescent="0.2">
      <c r="H103" s="12"/>
      <c r="J103" s="10"/>
    </row>
    <row r="104" spans="1:11" x14ac:dyDescent="0.2">
      <c r="A104" s="20">
        <v>45738</v>
      </c>
      <c r="C104" s="12" t="s">
        <v>43</v>
      </c>
      <c r="D104" s="10">
        <v>2</v>
      </c>
      <c r="E104" s="10">
        <v>2</v>
      </c>
      <c r="F104" s="10">
        <v>4</v>
      </c>
      <c r="G104" s="10">
        <v>2</v>
      </c>
      <c r="H104" s="25">
        <f>SUM(D104:G104)</f>
        <v>10</v>
      </c>
      <c r="I104" s="10"/>
      <c r="J104" s="10"/>
    </row>
    <row r="105" spans="1:11" x14ac:dyDescent="0.2">
      <c r="A105" s="10" t="s">
        <v>90</v>
      </c>
      <c r="C105" s="18" t="s">
        <v>107</v>
      </c>
      <c r="D105" s="10">
        <v>2</v>
      </c>
      <c r="E105" s="10">
        <v>2</v>
      </c>
      <c r="F105" s="10">
        <v>0</v>
      </c>
      <c r="G105" s="10">
        <v>4</v>
      </c>
      <c r="H105" s="25">
        <f>SUM(D105:G105)</f>
        <v>8</v>
      </c>
      <c r="I105" s="10"/>
      <c r="J105" s="10"/>
    </row>
    <row r="106" spans="1:11" x14ac:dyDescent="0.2">
      <c r="B106" s="21" t="s">
        <v>49</v>
      </c>
      <c r="C106" s="12" t="s">
        <v>43</v>
      </c>
      <c r="D106" s="38">
        <v>0.499</v>
      </c>
      <c r="E106" s="38">
        <v>0.60699999999999998</v>
      </c>
      <c r="F106" s="38">
        <v>0.63200000000000001</v>
      </c>
      <c r="G106" s="38">
        <v>0.57199999999999995</v>
      </c>
      <c r="H106" s="46">
        <v>0.57599999999999996</v>
      </c>
      <c r="I106" s="34"/>
      <c r="J106" s="30"/>
    </row>
    <row r="107" spans="1:11" x14ac:dyDescent="0.2">
      <c r="B107" s="23"/>
      <c r="C107" s="18" t="s">
        <v>107</v>
      </c>
      <c r="D107" s="48">
        <v>0.501</v>
      </c>
      <c r="E107" s="48">
        <v>0.39300000000000002</v>
      </c>
      <c r="F107" s="48">
        <v>0.36799999999999999</v>
      </c>
      <c r="G107" s="48">
        <v>0.42799999999999999</v>
      </c>
      <c r="H107" s="47">
        <v>0.42399999999999999</v>
      </c>
      <c r="I107" s="35"/>
    </row>
    <row r="108" spans="1:11" x14ac:dyDescent="0.2">
      <c r="H108" s="12"/>
    </row>
    <row r="109" spans="1:11" x14ac:dyDescent="0.2">
      <c r="A109" s="20">
        <v>45741</v>
      </c>
      <c r="C109" s="12" t="s">
        <v>43</v>
      </c>
      <c r="D109" s="10">
        <v>3</v>
      </c>
      <c r="E109" s="10">
        <v>6</v>
      </c>
      <c r="F109" s="10">
        <v>4</v>
      </c>
      <c r="G109" s="10">
        <v>2</v>
      </c>
      <c r="H109" s="25">
        <f>SUM(D109:G109)</f>
        <v>15</v>
      </c>
      <c r="I109" s="10"/>
    </row>
    <row r="110" spans="1:11" x14ac:dyDescent="0.2">
      <c r="A110" s="10" t="s">
        <v>60</v>
      </c>
      <c r="C110" s="12" t="s">
        <v>87</v>
      </c>
      <c r="D110" s="15">
        <v>2</v>
      </c>
      <c r="E110" s="10">
        <v>2</v>
      </c>
      <c r="F110" s="10">
        <v>3</v>
      </c>
      <c r="G110" s="10">
        <v>2</v>
      </c>
      <c r="H110" s="25">
        <f>SUM(D110:G110)</f>
        <v>9</v>
      </c>
      <c r="I110" s="10"/>
    </row>
    <row r="111" spans="1:11" x14ac:dyDescent="0.2">
      <c r="B111" s="21" t="s">
        <v>49</v>
      </c>
      <c r="C111" s="22" t="s">
        <v>43</v>
      </c>
      <c r="D111" s="36">
        <v>0.54500000000000004</v>
      </c>
      <c r="E111" s="38">
        <v>0.69199999999999995</v>
      </c>
      <c r="F111" s="38">
        <v>0.52500000000000002</v>
      </c>
      <c r="G111" s="38">
        <v>0.38600000000000001</v>
      </c>
      <c r="H111" s="46">
        <v>0.53700000000000003</v>
      </c>
      <c r="I111" s="34"/>
    </row>
    <row r="112" spans="1:11" x14ac:dyDescent="0.2">
      <c r="B112" s="23"/>
      <c r="C112" s="18" t="s">
        <v>87</v>
      </c>
      <c r="D112" s="58">
        <v>0.45500000000000002</v>
      </c>
      <c r="E112" s="48">
        <v>0.308</v>
      </c>
      <c r="F112" s="48">
        <v>0.47499999999999998</v>
      </c>
      <c r="G112" s="48">
        <v>0.61399999999999999</v>
      </c>
      <c r="H112" s="47">
        <v>0.46300000000000002</v>
      </c>
      <c r="I112" s="35"/>
      <c r="J112" s="25"/>
    </row>
    <row r="113" spans="1:10" x14ac:dyDescent="0.2">
      <c r="H113" s="12"/>
      <c r="J113" s="10"/>
    </row>
    <row r="114" spans="1:10" x14ac:dyDescent="0.2">
      <c r="A114" s="20">
        <v>45743</v>
      </c>
      <c r="C114" s="12" t="s">
        <v>43</v>
      </c>
      <c r="D114" s="10">
        <v>3</v>
      </c>
      <c r="E114" s="10">
        <v>1</v>
      </c>
      <c r="F114" s="10">
        <v>2</v>
      </c>
      <c r="G114" s="10">
        <v>1</v>
      </c>
      <c r="H114" s="25">
        <f>SUM(D114:G114)</f>
        <v>7</v>
      </c>
      <c r="I114" s="10"/>
    </row>
    <row r="115" spans="1:10" x14ac:dyDescent="0.2">
      <c r="A115" s="10" t="s">
        <v>59</v>
      </c>
      <c r="C115" s="12" t="s">
        <v>88</v>
      </c>
      <c r="D115" s="10">
        <v>6</v>
      </c>
      <c r="E115" s="10">
        <v>8</v>
      </c>
      <c r="F115" s="10">
        <v>1</v>
      </c>
      <c r="G115" s="10">
        <v>2</v>
      </c>
      <c r="H115" s="25">
        <f>SUM(D115:G115)</f>
        <v>17</v>
      </c>
      <c r="I115" s="10"/>
    </row>
    <row r="116" spans="1:10" x14ac:dyDescent="0.2">
      <c r="B116" s="21" t="s">
        <v>49</v>
      </c>
      <c r="C116" s="22" t="s">
        <v>43</v>
      </c>
      <c r="D116" s="38">
        <v>0.48099999999999998</v>
      </c>
      <c r="E116" s="38">
        <v>0.57199999999999995</v>
      </c>
      <c r="F116" s="38">
        <v>0.59099999999999997</v>
      </c>
      <c r="G116" s="38">
        <v>0.68600000000000005</v>
      </c>
      <c r="H116" s="46">
        <v>0.58399999999999996</v>
      </c>
      <c r="I116" s="13"/>
    </row>
    <row r="117" spans="1:10" x14ac:dyDescent="0.2">
      <c r="B117" s="23"/>
      <c r="C117" s="18" t="s">
        <v>88</v>
      </c>
      <c r="D117" s="48">
        <v>0.51900000000000002</v>
      </c>
      <c r="E117" s="48">
        <v>0.42799999999999999</v>
      </c>
      <c r="F117" s="48">
        <v>0.40899999999999997</v>
      </c>
      <c r="G117" s="48">
        <v>0.314</v>
      </c>
      <c r="H117" s="47">
        <v>0.41599999999999998</v>
      </c>
      <c r="I117" s="15"/>
    </row>
    <row r="118" spans="1:10" x14ac:dyDescent="0.2">
      <c r="H118" s="12"/>
    </row>
    <row r="119" spans="1:10" x14ac:dyDescent="0.2">
      <c r="A119" s="20">
        <v>45755</v>
      </c>
      <c r="C119" s="12" t="s">
        <v>43</v>
      </c>
      <c r="D119" s="10">
        <v>6</v>
      </c>
      <c r="E119" s="10">
        <v>2</v>
      </c>
      <c r="F119" s="10">
        <v>6</v>
      </c>
      <c r="G119" s="10">
        <v>5</v>
      </c>
      <c r="H119" s="25">
        <f>SUM(D119:G119)</f>
        <v>19</v>
      </c>
      <c r="I119" s="10"/>
    </row>
    <row r="120" spans="1:10" x14ac:dyDescent="0.2">
      <c r="A120" s="10" t="s">
        <v>90</v>
      </c>
      <c r="C120" s="12" t="s">
        <v>70</v>
      </c>
      <c r="D120" s="10">
        <v>1</v>
      </c>
      <c r="E120" s="10">
        <v>1</v>
      </c>
      <c r="F120" s="10">
        <v>6</v>
      </c>
      <c r="G120" s="10">
        <v>2</v>
      </c>
      <c r="H120" s="25">
        <f>SUM(D120:G120)</f>
        <v>10</v>
      </c>
      <c r="I120" s="10"/>
    </row>
    <row r="121" spans="1:10" x14ac:dyDescent="0.2">
      <c r="B121" s="21" t="s">
        <v>49</v>
      </c>
      <c r="C121" s="22" t="s">
        <v>43</v>
      </c>
      <c r="D121" s="38">
        <v>0.54100000000000004</v>
      </c>
      <c r="E121" s="38">
        <v>0.75700000000000001</v>
      </c>
      <c r="F121" s="38">
        <v>0.57499999999999996</v>
      </c>
      <c r="G121" s="38">
        <v>0.55000000000000004</v>
      </c>
      <c r="H121" s="46">
        <v>0.60299999999999998</v>
      </c>
      <c r="I121" s="34"/>
    </row>
    <row r="122" spans="1:10" x14ac:dyDescent="0.2">
      <c r="B122" s="23"/>
      <c r="C122" s="18" t="s">
        <v>70</v>
      </c>
      <c r="D122" s="48">
        <v>0.45900000000000002</v>
      </c>
      <c r="E122" s="48">
        <v>0.24299999999999999</v>
      </c>
      <c r="F122" s="48">
        <v>0.42499999999999999</v>
      </c>
      <c r="G122" s="48">
        <v>0.45</v>
      </c>
      <c r="H122" s="47">
        <v>0.39700000000000002</v>
      </c>
      <c r="I122" s="35"/>
    </row>
    <row r="123" spans="1:10" x14ac:dyDescent="0.2">
      <c r="H123" s="12"/>
    </row>
    <row r="124" spans="1:10" x14ac:dyDescent="0.2">
      <c r="A124" s="20">
        <v>45756</v>
      </c>
      <c r="C124" s="12" t="s">
        <v>43</v>
      </c>
      <c r="D124" s="10">
        <v>3</v>
      </c>
      <c r="E124" s="10">
        <v>1</v>
      </c>
      <c r="F124" s="10">
        <v>0</v>
      </c>
      <c r="G124" s="10">
        <v>1</v>
      </c>
      <c r="H124" s="25">
        <f>SUM(D124:G124)</f>
        <v>5</v>
      </c>
      <c r="I124" s="10"/>
    </row>
    <row r="125" spans="1:10" x14ac:dyDescent="0.2">
      <c r="A125" s="10" t="s">
        <v>59</v>
      </c>
      <c r="C125" s="12" t="s">
        <v>108</v>
      </c>
      <c r="D125" s="10">
        <v>5</v>
      </c>
      <c r="E125" s="10">
        <v>6</v>
      </c>
      <c r="F125" s="10">
        <v>6</v>
      </c>
      <c r="G125" s="10">
        <v>2</v>
      </c>
      <c r="H125" s="25">
        <f>SUM(D125:G125)</f>
        <v>19</v>
      </c>
      <c r="I125" s="10"/>
    </row>
    <row r="126" spans="1:10" x14ac:dyDescent="0.2">
      <c r="B126" s="21" t="s">
        <v>49</v>
      </c>
      <c r="C126" s="22" t="s">
        <v>43</v>
      </c>
      <c r="D126" s="38">
        <v>0.503</v>
      </c>
      <c r="E126" s="38">
        <v>0.39900000000000002</v>
      </c>
      <c r="F126" s="38">
        <v>0.307</v>
      </c>
      <c r="G126" s="38">
        <v>0.441</v>
      </c>
      <c r="H126" s="46">
        <v>0.40699999999999997</v>
      </c>
      <c r="I126" s="34"/>
    </row>
    <row r="127" spans="1:10" x14ac:dyDescent="0.2">
      <c r="B127" s="23"/>
      <c r="C127" s="18" t="s">
        <v>75</v>
      </c>
      <c r="D127" s="48">
        <v>0.497</v>
      </c>
      <c r="E127" s="48">
        <v>0.60099999999999998</v>
      </c>
      <c r="F127" s="48">
        <v>0.69299999999999995</v>
      </c>
      <c r="G127" s="48">
        <v>0.55900000000000005</v>
      </c>
      <c r="H127" s="47">
        <v>0.59299999999999997</v>
      </c>
      <c r="I127" s="35"/>
    </row>
    <row r="129" spans="1:9" x14ac:dyDescent="0.2">
      <c r="A129" s="20">
        <v>45762</v>
      </c>
      <c r="C129" s="12" t="s">
        <v>43</v>
      </c>
      <c r="D129" s="10">
        <v>4</v>
      </c>
      <c r="E129" s="10">
        <v>4</v>
      </c>
      <c r="F129" s="10">
        <v>2</v>
      </c>
      <c r="G129" s="10">
        <v>2</v>
      </c>
      <c r="H129" s="25">
        <f>SUM(D129:G129)</f>
        <v>12</v>
      </c>
      <c r="I129" s="10"/>
    </row>
    <row r="130" spans="1:9" x14ac:dyDescent="0.2">
      <c r="A130" s="10" t="s">
        <v>60</v>
      </c>
      <c r="C130" s="12" t="s">
        <v>77</v>
      </c>
      <c r="D130" s="10">
        <v>2</v>
      </c>
      <c r="E130" s="10">
        <v>0</v>
      </c>
      <c r="F130" s="10">
        <v>3</v>
      </c>
      <c r="G130" s="10">
        <v>1</v>
      </c>
      <c r="H130" s="25">
        <f>SUM(D130:G130)+J160</f>
        <v>6</v>
      </c>
      <c r="I130" s="15"/>
    </row>
    <row r="131" spans="1:9" x14ac:dyDescent="0.2">
      <c r="B131" s="21" t="s">
        <v>49</v>
      </c>
      <c r="C131" s="22" t="s">
        <v>43</v>
      </c>
      <c r="D131" s="38">
        <v>0.58599999999999997</v>
      </c>
      <c r="E131" s="38">
        <v>0.54200000000000004</v>
      </c>
      <c r="F131" s="38">
        <v>0.63100000000000001</v>
      </c>
      <c r="G131" s="38">
        <v>0.57999999999999996</v>
      </c>
      <c r="H131" s="46">
        <v>0.58599999999999997</v>
      </c>
      <c r="I131" s="27"/>
    </row>
    <row r="132" spans="1:9" x14ac:dyDescent="0.2">
      <c r="B132" s="23"/>
      <c r="C132" s="18" t="s">
        <v>77</v>
      </c>
      <c r="D132" s="48">
        <v>0.41399999999999998</v>
      </c>
      <c r="E132" s="48">
        <v>0.45800000000000002</v>
      </c>
      <c r="F132" s="48">
        <v>0.36899999999999999</v>
      </c>
      <c r="G132" s="48">
        <v>0.42</v>
      </c>
      <c r="H132" s="47">
        <v>0.41399999999999998</v>
      </c>
      <c r="I132" s="35"/>
    </row>
    <row r="133" spans="1:9" x14ac:dyDescent="0.2">
      <c r="F133" s="31"/>
      <c r="H133" s="12"/>
      <c r="I133" s="31"/>
    </row>
    <row r="134" spans="1:9" x14ac:dyDescent="0.2">
      <c r="A134" s="20">
        <v>45763</v>
      </c>
      <c r="C134" s="12" t="s">
        <v>43</v>
      </c>
      <c r="D134" s="10">
        <v>3</v>
      </c>
      <c r="E134" s="10">
        <v>9</v>
      </c>
      <c r="F134" s="10">
        <v>5</v>
      </c>
      <c r="G134" s="10">
        <v>2</v>
      </c>
      <c r="H134" s="25">
        <f>SUM(D134:G134)</f>
        <v>19</v>
      </c>
      <c r="I134" s="10"/>
    </row>
    <row r="135" spans="1:9" x14ac:dyDescent="0.2">
      <c r="A135" s="10" t="s">
        <v>59</v>
      </c>
      <c r="C135" s="12" t="s">
        <v>109</v>
      </c>
      <c r="D135" s="10">
        <v>0</v>
      </c>
      <c r="E135" s="10">
        <v>0</v>
      </c>
      <c r="F135" s="10">
        <v>1</v>
      </c>
      <c r="G135" s="10">
        <v>0</v>
      </c>
      <c r="H135" s="25">
        <f>SUM(D135:G135)</f>
        <v>1</v>
      </c>
      <c r="I135" s="10"/>
    </row>
    <row r="136" spans="1:9" x14ac:dyDescent="0.2">
      <c r="B136" s="21" t="s">
        <v>49</v>
      </c>
      <c r="C136" s="22" t="s">
        <v>43</v>
      </c>
      <c r="D136" s="38">
        <v>0.68</v>
      </c>
      <c r="E136" s="38">
        <v>0.77900000000000003</v>
      </c>
      <c r="F136" s="38">
        <v>0.80900000000000005</v>
      </c>
      <c r="G136" s="38">
        <v>0.64800000000000002</v>
      </c>
      <c r="H136" s="46">
        <v>0.72499999999999998</v>
      </c>
      <c r="I136" s="13"/>
    </row>
    <row r="137" spans="1:9" x14ac:dyDescent="0.2">
      <c r="B137" s="23"/>
      <c r="C137" s="18" t="s">
        <v>109</v>
      </c>
      <c r="D137" s="48">
        <v>0.32</v>
      </c>
      <c r="E137" s="48">
        <v>0.221</v>
      </c>
      <c r="F137" s="48">
        <v>0.191</v>
      </c>
      <c r="G137" s="48">
        <v>0.35199999999999998</v>
      </c>
      <c r="H137" s="47">
        <v>0.27500000000000002</v>
      </c>
      <c r="I137" s="15"/>
    </row>
    <row r="138" spans="1:9" x14ac:dyDescent="0.2">
      <c r="C138" s="12"/>
      <c r="D138" s="10"/>
      <c r="E138" s="10"/>
      <c r="F138" s="10"/>
      <c r="G138" s="10"/>
      <c r="H138" s="54"/>
      <c r="I138" s="10"/>
    </row>
    <row r="139" spans="1:9" x14ac:dyDescent="0.2">
      <c r="A139" s="20">
        <v>45768</v>
      </c>
      <c r="C139" s="12" t="s">
        <v>43</v>
      </c>
      <c r="D139" s="10">
        <v>2</v>
      </c>
      <c r="E139" s="10">
        <v>2</v>
      </c>
      <c r="F139" s="10">
        <v>2</v>
      </c>
      <c r="G139" s="10">
        <v>2</v>
      </c>
      <c r="H139" s="25">
        <f>SUM(D139:G139)</f>
        <v>8</v>
      </c>
      <c r="I139" s="10"/>
    </row>
    <row r="140" spans="1:9" x14ac:dyDescent="0.2">
      <c r="A140" s="10" t="s">
        <v>60</v>
      </c>
      <c r="C140" s="12" t="s">
        <v>76</v>
      </c>
      <c r="D140" s="10">
        <v>2</v>
      </c>
      <c r="E140" s="10">
        <v>2</v>
      </c>
      <c r="F140" s="10">
        <v>4</v>
      </c>
      <c r="G140" s="10">
        <v>1</v>
      </c>
      <c r="H140" s="25">
        <f>SUM(D140:G140)</f>
        <v>9</v>
      </c>
      <c r="I140" s="10"/>
    </row>
    <row r="141" spans="1:9" x14ac:dyDescent="0.2">
      <c r="B141" s="21" t="s">
        <v>49</v>
      </c>
      <c r="C141" s="22" t="s">
        <v>43</v>
      </c>
      <c r="D141" s="38">
        <v>0.68</v>
      </c>
      <c r="E141" s="38">
        <v>0.48099999999999998</v>
      </c>
      <c r="F141" s="38">
        <v>0.27300000000000002</v>
      </c>
      <c r="G141" s="38">
        <v>0.55000000000000004</v>
      </c>
      <c r="H141" s="46">
        <v>0.49299999999999999</v>
      </c>
      <c r="I141" s="34"/>
    </row>
    <row r="142" spans="1:9" x14ac:dyDescent="0.2">
      <c r="B142" s="23"/>
      <c r="C142" s="18" t="s">
        <v>76</v>
      </c>
      <c r="D142" s="48">
        <v>0.32</v>
      </c>
      <c r="E142" s="48">
        <v>0.51900000000000002</v>
      </c>
      <c r="F142" s="48">
        <v>0.72699999999999998</v>
      </c>
      <c r="G142" s="48">
        <v>0.45</v>
      </c>
      <c r="H142" s="47">
        <v>0.50700000000000001</v>
      </c>
      <c r="I142" s="35"/>
    </row>
    <row r="144" spans="1:9" x14ac:dyDescent="0.2">
      <c r="A144" s="20">
        <v>45770</v>
      </c>
      <c r="C144" s="12" t="s">
        <v>43</v>
      </c>
      <c r="D144">
        <v>5</v>
      </c>
      <c r="E144">
        <v>7</v>
      </c>
      <c r="F144">
        <v>5</v>
      </c>
      <c r="G144">
        <v>1</v>
      </c>
      <c r="H144" s="25">
        <f>SUM(D144:G144)</f>
        <v>18</v>
      </c>
      <c r="I144" s="10"/>
    </row>
    <row r="145" spans="1:10" x14ac:dyDescent="0.2">
      <c r="A145" s="10" t="s">
        <v>59</v>
      </c>
      <c r="C145" s="12" t="s">
        <v>71</v>
      </c>
      <c r="D145" s="59">
        <v>0</v>
      </c>
      <c r="E145" s="59">
        <v>1</v>
      </c>
      <c r="F145" s="59">
        <v>1</v>
      </c>
      <c r="G145" s="59">
        <v>1</v>
      </c>
      <c r="H145" s="19">
        <f>SUM(D145:G145)</f>
        <v>3</v>
      </c>
      <c r="I145" s="10"/>
    </row>
    <row r="146" spans="1:10" x14ac:dyDescent="0.2">
      <c r="B146" s="21" t="s">
        <v>49</v>
      </c>
      <c r="C146" s="22" t="s">
        <v>43</v>
      </c>
      <c r="D146" s="61">
        <v>0.70399999999999996</v>
      </c>
      <c r="E146" s="61">
        <v>0.65900000000000003</v>
      </c>
      <c r="F146" s="61">
        <v>0.61099999999999999</v>
      </c>
      <c r="G146" s="61">
        <v>0.57299999999999995</v>
      </c>
      <c r="H146" s="60">
        <v>0.64900000000000002</v>
      </c>
      <c r="I146" s="21"/>
    </row>
    <row r="147" spans="1:10" x14ac:dyDescent="0.2">
      <c r="B147" s="23"/>
      <c r="C147" s="18" t="s">
        <v>71</v>
      </c>
      <c r="D147" s="62">
        <v>0.29599999999999999</v>
      </c>
      <c r="E147" s="62">
        <v>0.34100000000000003</v>
      </c>
      <c r="F147" s="62">
        <v>0.38900000000000001</v>
      </c>
      <c r="G147" s="62">
        <v>0.42699999999999999</v>
      </c>
      <c r="H147" s="47">
        <v>0.35099999999999998</v>
      </c>
      <c r="I147" s="23"/>
    </row>
    <row r="148" spans="1:10" x14ac:dyDescent="0.2">
      <c r="H148" s="12"/>
    </row>
    <row r="149" spans="1:10" x14ac:dyDescent="0.2">
      <c r="A149" s="20">
        <v>45771</v>
      </c>
      <c r="C149" s="12" t="s">
        <v>43</v>
      </c>
      <c r="D149" s="10">
        <v>2</v>
      </c>
      <c r="E149" s="10">
        <v>7</v>
      </c>
      <c r="F149" s="10">
        <v>6</v>
      </c>
      <c r="G149" s="10">
        <v>1</v>
      </c>
      <c r="H149" s="25">
        <f>SUM(D149:G149)</f>
        <v>16</v>
      </c>
      <c r="I149" s="10"/>
    </row>
    <row r="150" spans="1:10" x14ac:dyDescent="0.2">
      <c r="A150" s="10" t="s">
        <v>59</v>
      </c>
      <c r="C150" s="12" t="s">
        <v>70</v>
      </c>
      <c r="D150" s="10">
        <v>2</v>
      </c>
      <c r="E150" s="10">
        <v>0</v>
      </c>
      <c r="F150" s="10">
        <v>1</v>
      </c>
      <c r="G150" s="10">
        <v>1</v>
      </c>
      <c r="H150" s="25">
        <f>SUM(D150:G150)</f>
        <v>4</v>
      </c>
      <c r="I150" s="10"/>
    </row>
    <row r="151" spans="1:10" x14ac:dyDescent="0.2">
      <c r="B151" s="21" t="s">
        <v>49</v>
      </c>
      <c r="C151" s="22" t="s">
        <v>43</v>
      </c>
      <c r="D151" s="38">
        <v>0.64400000000000002</v>
      </c>
      <c r="E151" s="38">
        <v>0.84799999999999998</v>
      </c>
      <c r="F151" s="38">
        <v>0.67900000000000005</v>
      </c>
      <c r="G151" s="38">
        <v>0.61499999999999999</v>
      </c>
      <c r="H151" s="46">
        <v>0.69199999999999995</v>
      </c>
      <c r="I151" s="34"/>
    </row>
    <row r="152" spans="1:10" x14ac:dyDescent="0.2">
      <c r="B152" s="23"/>
      <c r="C152" s="18" t="s">
        <v>70</v>
      </c>
      <c r="D152" s="48">
        <v>0.35599999999999998</v>
      </c>
      <c r="E152" s="48">
        <v>0.152</v>
      </c>
      <c r="F152" s="48">
        <v>0.32100000000000001</v>
      </c>
      <c r="G152" s="48">
        <v>0.38500000000000001</v>
      </c>
      <c r="H152" s="47">
        <v>0.308</v>
      </c>
      <c r="I152" s="35"/>
    </row>
    <row r="153" spans="1:10" x14ac:dyDescent="0.2">
      <c r="J153" s="10"/>
    </row>
    <row r="154" spans="1:10" x14ac:dyDescent="0.2">
      <c r="A154" s="20">
        <v>45775</v>
      </c>
      <c r="C154" s="12" t="s">
        <v>43</v>
      </c>
      <c r="D154" s="10">
        <v>10</v>
      </c>
      <c r="E154" s="10">
        <v>3</v>
      </c>
      <c r="F154" s="10">
        <v>4</v>
      </c>
      <c r="G154" s="10">
        <v>2</v>
      </c>
      <c r="H154" s="25">
        <f>SUM(D154:G154)</f>
        <v>19</v>
      </c>
      <c r="I154" s="10"/>
      <c r="J154" s="10"/>
    </row>
    <row r="155" spans="1:10" x14ac:dyDescent="0.2">
      <c r="A155" s="10" t="s">
        <v>60</v>
      </c>
      <c r="C155" s="12" t="s">
        <v>71</v>
      </c>
      <c r="D155" s="10">
        <v>2</v>
      </c>
      <c r="E155" s="10">
        <v>1</v>
      </c>
      <c r="F155" s="10">
        <v>2</v>
      </c>
      <c r="G155" s="10">
        <v>1</v>
      </c>
      <c r="H155" s="25">
        <f>SUM(D155:G155)</f>
        <v>6</v>
      </c>
      <c r="I155" s="10"/>
      <c r="J155" s="10"/>
    </row>
    <row r="156" spans="1:10" x14ac:dyDescent="0.2">
      <c r="B156" s="21" t="s">
        <v>49</v>
      </c>
      <c r="C156" s="22" t="s">
        <v>43</v>
      </c>
      <c r="D156" s="38">
        <v>0.64800000000000002</v>
      </c>
      <c r="E156" s="38">
        <v>0.61699999999999999</v>
      </c>
      <c r="F156" s="38">
        <v>0.504</v>
      </c>
      <c r="G156" s="38">
        <v>0.47899999999999998</v>
      </c>
      <c r="H156" s="46">
        <v>0.57599999999999996</v>
      </c>
      <c r="I156" s="34"/>
    </row>
    <row r="157" spans="1:10" x14ac:dyDescent="0.2">
      <c r="B157" s="23"/>
      <c r="C157" s="18" t="s">
        <v>71</v>
      </c>
      <c r="D157" s="48">
        <v>0.35199999999999998</v>
      </c>
      <c r="E157" s="48">
        <v>0.38300000000000001</v>
      </c>
      <c r="F157" s="48">
        <v>0.496</v>
      </c>
      <c r="G157" s="48">
        <v>0.52100000000000002</v>
      </c>
      <c r="H157" s="47">
        <v>0.42399999999999999</v>
      </c>
      <c r="I157" s="35"/>
    </row>
    <row r="158" spans="1:10" x14ac:dyDescent="0.2">
      <c r="H158" s="12"/>
    </row>
    <row r="159" spans="1:10" x14ac:dyDescent="0.2">
      <c r="A159" s="20">
        <v>45778</v>
      </c>
      <c r="C159" s="12" t="s">
        <v>43</v>
      </c>
      <c r="D159" s="10">
        <v>3</v>
      </c>
      <c r="E159" s="10">
        <v>5</v>
      </c>
      <c r="F159" s="10">
        <v>3</v>
      </c>
      <c r="G159" s="10">
        <v>0</v>
      </c>
      <c r="H159" s="25">
        <f>SUM(D159:G159)+J154</f>
        <v>11</v>
      </c>
      <c r="I159" s="10"/>
    </row>
    <row r="160" spans="1:10" x14ac:dyDescent="0.2">
      <c r="A160" s="10" t="s">
        <v>59</v>
      </c>
      <c r="C160" s="12" t="s">
        <v>77</v>
      </c>
      <c r="D160" s="15">
        <v>1</v>
      </c>
      <c r="E160" s="15">
        <v>1</v>
      </c>
      <c r="F160" s="15">
        <v>1</v>
      </c>
      <c r="G160" s="15">
        <v>0</v>
      </c>
      <c r="H160" s="19">
        <f>SUM(D160:G160)+J155</f>
        <v>3</v>
      </c>
      <c r="I160" s="10"/>
    </row>
    <row r="161" spans="1:14" x14ac:dyDescent="0.2">
      <c r="B161" s="21" t="s">
        <v>49</v>
      </c>
      <c r="C161" s="22" t="s">
        <v>43</v>
      </c>
      <c r="D161" s="26">
        <v>0.65800000000000003</v>
      </c>
      <c r="E161" s="26">
        <v>0.69899999999999995</v>
      </c>
      <c r="F161" s="26">
        <v>0.48699999999999999</v>
      </c>
      <c r="G161" s="26">
        <v>0.52400000000000002</v>
      </c>
      <c r="H161" s="46">
        <v>0.59199999999999997</v>
      </c>
      <c r="I161" s="13"/>
    </row>
    <row r="162" spans="1:14" x14ac:dyDescent="0.2">
      <c r="B162" s="23"/>
      <c r="C162" s="18" t="s">
        <v>77</v>
      </c>
      <c r="D162" s="48">
        <v>0.34200000000000003</v>
      </c>
      <c r="E162" s="48">
        <v>0.30099999999999999</v>
      </c>
      <c r="F162" s="48">
        <v>0.51300000000000001</v>
      </c>
      <c r="G162" s="48">
        <v>0.47599999999999998</v>
      </c>
      <c r="H162" s="47">
        <v>0.40799999999999997</v>
      </c>
      <c r="I162" s="15"/>
    </row>
    <row r="163" spans="1:14" x14ac:dyDescent="0.2">
      <c r="I163" s="10"/>
      <c r="J163" s="10"/>
      <c r="K163" s="10"/>
      <c r="L163" s="10"/>
      <c r="M163" s="10"/>
      <c r="N163" s="10"/>
    </row>
    <row r="164" spans="1:14" x14ac:dyDescent="0.2">
      <c r="A164" s="20">
        <v>45783</v>
      </c>
      <c r="C164" s="12" t="s">
        <v>43</v>
      </c>
      <c r="D164" s="10">
        <v>1</v>
      </c>
      <c r="E164" s="10">
        <v>1</v>
      </c>
      <c r="F164" s="10">
        <v>3</v>
      </c>
      <c r="G164" s="10">
        <v>0</v>
      </c>
      <c r="H164" s="25">
        <f>SUM(D164:G164)+(I164+J164+K164+L164+M164+N164)</f>
        <v>5</v>
      </c>
      <c r="I164" s="10"/>
      <c r="J164" s="10"/>
      <c r="K164" s="10"/>
      <c r="L164" s="10"/>
      <c r="M164" s="10"/>
      <c r="N164" s="10"/>
    </row>
    <row r="165" spans="1:14" x14ac:dyDescent="0.2">
      <c r="A165" s="10" t="s">
        <v>60</v>
      </c>
      <c r="C165" s="12" t="s">
        <v>75</v>
      </c>
      <c r="D165" s="10">
        <v>6</v>
      </c>
      <c r="E165" s="10">
        <v>6</v>
      </c>
      <c r="F165" s="10">
        <v>4</v>
      </c>
      <c r="G165" s="10">
        <v>3</v>
      </c>
      <c r="H165" s="25">
        <f>SUM(D165:G165)+J165+(I165+K165+L165+M165+N165)</f>
        <v>19</v>
      </c>
      <c r="I165" s="10"/>
      <c r="J165" s="10"/>
      <c r="K165" s="10"/>
      <c r="L165" s="10"/>
      <c r="M165" s="10"/>
      <c r="N165" s="10"/>
    </row>
    <row r="166" spans="1:14" x14ac:dyDescent="0.2">
      <c r="B166" s="21" t="s">
        <v>49</v>
      </c>
      <c r="C166" s="22" t="s">
        <v>43</v>
      </c>
      <c r="D166" s="38">
        <v>0.308</v>
      </c>
      <c r="E166" s="38">
        <v>0.307</v>
      </c>
      <c r="F166" s="38">
        <v>0.376</v>
      </c>
      <c r="G166" s="38">
        <v>0.23899999999999999</v>
      </c>
      <c r="H166" s="46">
        <v>0.31</v>
      </c>
      <c r="I166" s="13"/>
    </row>
    <row r="167" spans="1:14" x14ac:dyDescent="0.2">
      <c r="B167" s="23"/>
      <c r="C167" s="18" t="s">
        <v>75</v>
      </c>
      <c r="D167" s="48">
        <v>0.69199999999999995</v>
      </c>
      <c r="E167" s="48">
        <v>0.69299999999999995</v>
      </c>
      <c r="F167" s="48">
        <v>0.624</v>
      </c>
      <c r="G167" s="48">
        <v>0.76100000000000001</v>
      </c>
      <c r="H167" s="47">
        <v>0.69</v>
      </c>
      <c r="I167" s="15"/>
    </row>
    <row r="168" spans="1:14" x14ac:dyDescent="0.2">
      <c r="I168" s="10" t="s">
        <v>119</v>
      </c>
    </row>
    <row r="169" spans="1:14" x14ac:dyDescent="0.2">
      <c r="A169" s="20">
        <v>45785</v>
      </c>
      <c r="C169" s="12" t="s">
        <v>91</v>
      </c>
      <c r="D169" s="10">
        <v>1</v>
      </c>
      <c r="E169" s="10">
        <v>3</v>
      </c>
      <c r="F169" s="10">
        <v>2</v>
      </c>
      <c r="G169" s="10">
        <v>4</v>
      </c>
      <c r="H169" s="25">
        <f>SUM(D169:G169)+(I169+J169+K169+L169+M169+N169)</f>
        <v>10</v>
      </c>
      <c r="I169" s="10"/>
    </row>
    <row r="170" spans="1:14" x14ac:dyDescent="0.2">
      <c r="A170" s="10" t="s">
        <v>59</v>
      </c>
      <c r="C170" s="12" t="s">
        <v>76</v>
      </c>
      <c r="D170" s="10">
        <v>1</v>
      </c>
      <c r="E170" s="10">
        <v>2</v>
      </c>
      <c r="F170" s="10">
        <v>4</v>
      </c>
      <c r="G170" s="10">
        <v>3</v>
      </c>
      <c r="H170" s="25">
        <f>SUM(D170:G170)+J170+(I170+K170+L170+M170+N170)</f>
        <v>11</v>
      </c>
      <c r="I170" s="10">
        <v>1</v>
      </c>
    </row>
    <row r="171" spans="1:14" x14ac:dyDescent="0.2">
      <c r="B171" s="21"/>
      <c r="C171" s="22" t="s">
        <v>91</v>
      </c>
      <c r="D171" s="38">
        <v>0.38700000000000001</v>
      </c>
      <c r="E171" s="38">
        <v>0.63900000000000001</v>
      </c>
      <c r="F171" s="38">
        <v>0.55800000000000005</v>
      </c>
      <c r="G171" s="38">
        <v>0.51400000000000001</v>
      </c>
      <c r="H171" s="46">
        <v>0.51200000000000001</v>
      </c>
      <c r="I171" s="38">
        <v>0.27</v>
      </c>
    </row>
    <row r="172" spans="1:14" x14ac:dyDescent="0.2">
      <c r="B172" s="23"/>
      <c r="C172" s="18" t="s">
        <v>76</v>
      </c>
      <c r="D172" s="48">
        <v>0.61299999999999999</v>
      </c>
      <c r="E172" s="48">
        <v>0.36099999999999999</v>
      </c>
      <c r="F172" s="48">
        <v>0.442</v>
      </c>
      <c r="G172" s="48">
        <v>0.48599999999999999</v>
      </c>
      <c r="H172" s="47">
        <v>0.48799999999999999</v>
      </c>
      <c r="I172" s="48">
        <v>0.73</v>
      </c>
    </row>
    <row r="174" spans="1:14" x14ac:dyDescent="0.2">
      <c r="A174" s="20">
        <v>45790</v>
      </c>
      <c r="C174" s="12" t="s">
        <v>91</v>
      </c>
      <c r="D174" s="10">
        <v>7</v>
      </c>
      <c r="E174" s="10">
        <v>2</v>
      </c>
      <c r="F174" s="10">
        <v>2</v>
      </c>
      <c r="G174" s="10">
        <v>1</v>
      </c>
      <c r="H174" s="25">
        <f>SUM(D174:G174)+(I174+J174+K174+L174+M174+N174)</f>
        <v>12</v>
      </c>
      <c r="I174" s="10"/>
    </row>
    <row r="175" spans="1:14" x14ac:dyDescent="0.2">
      <c r="C175" s="12" t="s">
        <v>121</v>
      </c>
      <c r="D175" s="10">
        <v>5</v>
      </c>
      <c r="E175" s="10">
        <v>5</v>
      </c>
      <c r="F175" s="10">
        <v>4</v>
      </c>
      <c r="G175" s="10">
        <v>4</v>
      </c>
      <c r="H175" s="25">
        <f>SUM(D175:G175)+J175+(I175+K175+L175+M175+N175)</f>
        <v>18</v>
      </c>
      <c r="I175" s="10"/>
    </row>
    <row r="176" spans="1:14" x14ac:dyDescent="0.2">
      <c r="B176" s="21"/>
      <c r="C176" s="22" t="s">
        <v>91</v>
      </c>
      <c r="D176" s="38">
        <v>0.67600000000000005</v>
      </c>
      <c r="E176" s="38">
        <v>0.432</v>
      </c>
      <c r="F176" s="38">
        <v>0.59199999999999997</v>
      </c>
      <c r="G176" s="38">
        <v>0.42099999999999999</v>
      </c>
      <c r="H176" s="46">
        <v>0.52700000000000002</v>
      </c>
      <c r="I176" s="13"/>
    </row>
    <row r="177" spans="1:9" x14ac:dyDescent="0.2">
      <c r="B177" s="23"/>
      <c r="C177" s="18" t="s">
        <v>121</v>
      </c>
      <c r="D177" s="48">
        <v>0.32400000000000001</v>
      </c>
      <c r="E177" s="48">
        <v>0.56799999999999995</v>
      </c>
      <c r="F177" s="48">
        <v>0.40799999999999997</v>
      </c>
      <c r="G177" s="48">
        <v>0.57899999999999996</v>
      </c>
      <c r="H177" s="47">
        <v>0.47299999999999998</v>
      </c>
      <c r="I177" s="15"/>
    </row>
    <row r="178" spans="1:9" x14ac:dyDescent="0.2">
      <c r="I178" s="10"/>
    </row>
    <row r="179" spans="1:9" x14ac:dyDescent="0.2">
      <c r="A179" s="20">
        <v>45793</v>
      </c>
      <c r="C179" s="12" t="s">
        <v>91</v>
      </c>
      <c r="D179" s="10"/>
      <c r="E179" s="10"/>
      <c r="F179" s="10"/>
      <c r="G179" s="10"/>
      <c r="H179" s="25">
        <f>SUM(D179:G179)+(I179+J179+K179+L179+M179+N179)</f>
        <v>0</v>
      </c>
      <c r="I179" s="10"/>
    </row>
    <row r="180" spans="1:9" x14ac:dyDescent="0.2">
      <c r="C180" s="12"/>
      <c r="D180" s="10"/>
      <c r="E180" s="10"/>
      <c r="F180" s="10"/>
      <c r="G180" s="10"/>
      <c r="H180" s="25">
        <f>SUM(D180:G180)+J180+(I180+K180+L180+M180+N180)</f>
        <v>0</v>
      </c>
      <c r="I180" s="10"/>
    </row>
    <row r="181" spans="1:9" x14ac:dyDescent="0.2">
      <c r="B181" s="21"/>
      <c r="C181" s="22" t="s">
        <v>91</v>
      </c>
      <c r="D181" s="13"/>
      <c r="E181" s="13"/>
      <c r="F181" s="13"/>
      <c r="G181" s="13"/>
      <c r="H181" s="46"/>
      <c r="I181" s="13"/>
    </row>
    <row r="182" spans="1:9" x14ac:dyDescent="0.2">
      <c r="B182" s="23"/>
      <c r="C182" s="18"/>
      <c r="D182" s="15"/>
      <c r="E182" s="15"/>
      <c r="F182" s="15"/>
      <c r="G182" s="15"/>
      <c r="H182" s="47"/>
      <c r="I182" s="15"/>
    </row>
    <row r="184" spans="1:9" x14ac:dyDescent="0.2">
      <c r="A184" s="20">
        <v>45797</v>
      </c>
      <c r="C184" s="12" t="s">
        <v>91</v>
      </c>
      <c r="D184" s="10"/>
      <c r="E184" s="10"/>
      <c r="F184" s="10"/>
      <c r="G184" s="10"/>
      <c r="H184" s="25">
        <f>SUM(D184:G184)+(I184+J184+K184+L184+M184+N184)</f>
        <v>0</v>
      </c>
      <c r="I184" s="10"/>
    </row>
    <row r="185" spans="1:9" x14ac:dyDescent="0.2">
      <c r="C185" s="12"/>
      <c r="D185" s="10"/>
      <c r="E185" s="10"/>
      <c r="F185" s="10"/>
      <c r="G185" s="10"/>
      <c r="H185" s="25">
        <f>SUM(D185:G185)+J185+(I185+K185+L185+M185+N185)</f>
        <v>0</v>
      </c>
      <c r="I185" s="10"/>
    </row>
    <row r="186" spans="1:9" x14ac:dyDescent="0.2">
      <c r="B186" s="21"/>
      <c r="C186" s="22" t="s">
        <v>91</v>
      </c>
      <c r="D186" s="13"/>
      <c r="E186" s="13"/>
      <c r="F186" s="13"/>
      <c r="G186" s="13"/>
      <c r="H186" s="46"/>
      <c r="I186" s="13"/>
    </row>
    <row r="187" spans="1:9" x14ac:dyDescent="0.2">
      <c r="B187" s="23"/>
      <c r="C187" s="18"/>
      <c r="D187" s="15"/>
      <c r="E187" s="15"/>
      <c r="F187" s="15"/>
      <c r="G187" s="15"/>
      <c r="H187" s="47"/>
      <c r="I187" s="15"/>
    </row>
  </sheetData>
  <sheetProtection algorithmName="SHA-512" hashValue="YuzpmGt4vtPopfTaeVqnYooEcyhQu3n0W8azB0yq3h3OPhArMcPz4nhbaM5xLfEHDmqvJSbCl8cx0HrdzInuMg==" saltValue="esM3dYHlW2hWULbnh1EH3Q==" spinCount="100000" sheet="1" objects="1" scenarios="1"/>
  <sortState xmlns:xlrd2="http://schemas.microsoft.com/office/spreadsheetml/2017/richdata2" ref="A3:O31">
    <sortCondition ref="B3:B31" customList="A,M,D"/>
  </sortState>
  <printOptions gridLines="1"/>
  <pageMargins left="0" right="0" top="0.5" bottom="0.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twetherb</dc:creator>
  <cp:lastModifiedBy>Tom Wetherby</cp:lastModifiedBy>
  <cp:lastPrinted>2025-03-10T19:03:42Z</cp:lastPrinted>
  <dcterms:created xsi:type="dcterms:W3CDTF">2013-03-19T12:42:01Z</dcterms:created>
  <dcterms:modified xsi:type="dcterms:W3CDTF">2026-07-23T20:00:14Z</dcterms:modified>
</cp:coreProperties>
</file>